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'Plan1'!$A$1:$H$79</definedName>
  </definedNames>
  <calcPr fullCalcOnLoad="1"/>
</workbook>
</file>

<file path=xl/sharedStrings.xml><?xml version="1.0" encoding="utf-8"?>
<sst xmlns="http://schemas.openxmlformats.org/spreadsheetml/2006/main" count="90" uniqueCount="58">
  <si>
    <t>ESPECIFICAÇÕES</t>
  </si>
  <si>
    <t>PREVISÃO</t>
  </si>
  <si>
    <t>1º BIMESTRE</t>
  </si>
  <si>
    <t>2º BIMESTRE</t>
  </si>
  <si>
    <t>3º BIMESTRE</t>
  </si>
  <si>
    <t>4º BIMESTRE</t>
  </si>
  <si>
    <t>5º BIMESTRE</t>
  </si>
  <si>
    <t>6º BIMESTRE</t>
  </si>
  <si>
    <t>TOTAL</t>
  </si>
  <si>
    <t>RECEITAS</t>
  </si>
  <si>
    <t xml:space="preserve"> RECEITAS CORRENTES</t>
  </si>
  <si>
    <t xml:space="preserve">  Receita Tributária</t>
  </si>
  <si>
    <t xml:space="preserve">  Receita Patrimonial</t>
  </si>
  <si>
    <t xml:space="preserve">  Transferências Correntes</t>
  </si>
  <si>
    <t xml:space="preserve">  Outras Receitas Correntes</t>
  </si>
  <si>
    <t>SUB-TOTAL      -</t>
  </si>
  <si>
    <t xml:space="preserve"> RECEITAS DE CAPITAL</t>
  </si>
  <si>
    <t xml:space="preserve"> Operações de Crédito</t>
  </si>
  <si>
    <t>SUB-TOTAL       -</t>
  </si>
  <si>
    <t>TOTAL GERAL       -</t>
  </si>
  <si>
    <t>DISCRIMINAÇÃO</t>
  </si>
  <si>
    <t>PREVISÃO JANEIRO</t>
  </si>
  <si>
    <t>FEVEREIRO</t>
  </si>
  <si>
    <t>MARÇO</t>
  </si>
  <si>
    <t>ABRIL</t>
  </si>
  <si>
    <t>MAIO</t>
  </si>
  <si>
    <t>JUNHO</t>
  </si>
  <si>
    <t>SUBTOTAL</t>
  </si>
  <si>
    <t>DESPESAS</t>
  </si>
  <si>
    <t xml:space="preserve"> DESPESAS CORRENTES</t>
  </si>
  <si>
    <t xml:space="preserve">  Pessoal e Encargos Sociais</t>
  </si>
  <si>
    <t xml:space="preserve">  Juros e Encargos da Dívida</t>
  </si>
  <si>
    <t xml:space="preserve">  Outras Despesas Correntes</t>
  </si>
  <si>
    <t xml:space="preserve"> DESPESAS DE CAPITAL</t>
  </si>
  <si>
    <t xml:space="preserve">  Investimentos</t>
  </si>
  <si>
    <t xml:space="preserve">  Inversões Financeiras</t>
  </si>
  <si>
    <t xml:space="preserve">  Amortização da Dívida</t>
  </si>
  <si>
    <t>TOTAL  -</t>
  </si>
  <si>
    <t>JULHO</t>
  </si>
  <si>
    <t>AGOSTO</t>
  </si>
  <si>
    <t>SETEMBRO</t>
  </si>
  <si>
    <t>OUTUBRO</t>
  </si>
  <si>
    <t>NOVEMBRO</t>
  </si>
  <si>
    <t>DEZEMBRO</t>
  </si>
  <si>
    <t>Prefeitura do Município de Tietê</t>
  </si>
  <si>
    <t xml:space="preserve">  Reserva de Contingência </t>
  </si>
  <si>
    <t xml:space="preserve">  Reserva de Contingência</t>
  </si>
  <si>
    <t>RESERVA DE CONTINGÊNCIA</t>
  </si>
  <si>
    <t xml:space="preserve">  Receita de Contribuições</t>
  </si>
  <si>
    <t xml:space="preserve"> DEDUÇÃO REC.P/FORM.FUNDEB </t>
  </si>
  <si>
    <t xml:space="preserve">  Dedução Receita p/Form. FUNDEB</t>
  </si>
  <si>
    <t>DEMONSTRATIVO DAS METAS BIMESTRAIS DE ARRECADAÇÃO - EXERCÍCIO DE 2012</t>
  </si>
  <si>
    <t>DEMONSTRATIVO DA PROGRAMAÇÃO FINANCEIRA E DO CRONOGRAMA MENSAL DE DESEMBOLSO  -  EXERCÍCIO DE 2012</t>
  </si>
  <si>
    <t xml:space="preserve"> RESERVA DE CONTINGÊNCIA</t>
  </si>
  <si>
    <t>TRANSFERÊNCIA FINANCEIRA</t>
  </si>
  <si>
    <t xml:space="preserve">  Câmara Municipal</t>
  </si>
  <si>
    <t xml:space="preserve">  Autarquia Municipal</t>
  </si>
  <si>
    <t>Artigos 8º e 13 da L.C. nº 101/2000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</si>
</sst>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_(* #,##0.00000_);_(* \(#,##0.00000\);_(* &quot;-&quot;??_);_(@_)"/>
  </numFmts>
  <fonts count="4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b/>
      <u val="double"/>
      <sz val="2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top" wrapText="1"/>
    </xf>
    <xf numFmtId="4" fontId="1" fillId="0" borderId="15" xfId="0" applyNumberFormat="1" applyFont="1" applyBorder="1" applyAlignment="1">
      <alignment horizontal="right" vertical="top" wrapText="1"/>
    </xf>
    <xf numFmtId="0" fontId="1" fillId="0" borderId="10" xfId="0" applyFont="1" applyBorder="1" applyAlignment="1">
      <alignment horizontal="left" vertical="top" wrapText="1"/>
    </xf>
    <xf numFmtId="4" fontId="0" fillId="0" borderId="10" xfId="0" applyNumberFormat="1" applyBorder="1" applyAlignment="1">
      <alignment/>
    </xf>
    <xf numFmtId="0" fontId="1" fillId="0" borderId="14" xfId="0" applyFont="1" applyBorder="1" applyAlignment="1">
      <alignment horizontal="right" vertical="top" wrapText="1"/>
    </xf>
    <xf numFmtId="0" fontId="1" fillId="0" borderId="15" xfId="0" applyFont="1" applyBorder="1" applyAlignment="1">
      <alignment horizontal="right" vertical="top" wrapText="1"/>
    </xf>
    <xf numFmtId="0" fontId="1" fillId="0" borderId="16" xfId="0" applyFont="1" applyBorder="1" applyAlignment="1">
      <alignment horizontal="right" vertical="top" wrapText="1"/>
    </xf>
    <xf numFmtId="0" fontId="1" fillId="0" borderId="17" xfId="0" applyFont="1" applyBorder="1" applyAlignment="1">
      <alignment horizontal="right" vertical="top" wrapText="1"/>
    </xf>
    <xf numFmtId="0" fontId="1" fillId="0" borderId="18" xfId="0" applyFont="1" applyBorder="1" applyAlignment="1">
      <alignment horizontal="right" vertical="center" wrapText="1"/>
    </xf>
    <xf numFmtId="4" fontId="1" fillId="0" borderId="1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16" xfId="0" applyNumberFormat="1" applyFont="1" applyBorder="1" applyAlignment="1">
      <alignment vertical="center"/>
    </xf>
    <xf numFmtId="0" fontId="0" fillId="0" borderId="21" xfId="0" applyBorder="1" applyAlignment="1">
      <alignment/>
    </xf>
    <xf numFmtId="4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4" fontId="1" fillId="0" borderId="13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1" fillId="0" borderId="18" xfId="0" applyFont="1" applyBorder="1" applyAlignment="1">
      <alignment vertical="top" wrapText="1"/>
    </xf>
    <xf numFmtId="0" fontId="0" fillId="0" borderId="0" xfId="0" applyAlignment="1">
      <alignment/>
    </xf>
    <xf numFmtId="0" fontId="4" fillId="0" borderId="23" xfId="0" applyFont="1" applyBorder="1" applyAlignment="1">
      <alignment/>
    </xf>
    <xf numFmtId="0" fontId="1" fillId="0" borderId="10" xfId="0" applyFont="1" applyBorder="1" applyAlignment="1">
      <alignment wrapText="1"/>
    </xf>
    <xf numFmtId="4" fontId="1" fillId="0" borderId="11" xfId="51" applyNumberFormat="1" applyFont="1" applyBorder="1" applyAlignment="1">
      <alignment horizontal="right" vertical="top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4" fontId="0" fillId="0" borderId="0" xfId="0" applyNumberFormat="1" applyBorder="1" applyAlignment="1">
      <alignment/>
    </xf>
    <xf numFmtId="4" fontId="1" fillId="0" borderId="10" xfId="0" applyNumberFormat="1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4" fontId="1" fillId="0" borderId="18" xfId="0" applyNumberFormat="1" applyFont="1" applyBorder="1" applyAlignment="1">
      <alignment horizontal="right" vertical="top" wrapText="1"/>
    </xf>
    <xf numFmtId="4" fontId="1" fillId="0" borderId="22" xfId="0" applyNumberFormat="1" applyFont="1" applyFill="1" applyBorder="1" applyAlignment="1">
      <alignment horizontal="right" vertical="center" wrapText="1"/>
    </xf>
    <xf numFmtId="4" fontId="0" fillId="0" borderId="21" xfId="0" applyNumberFormat="1" applyBorder="1" applyAlignment="1">
      <alignment/>
    </xf>
    <xf numFmtId="4" fontId="1" fillId="0" borderId="16" xfId="0" applyNumberFormat="1" applyFont="1" applyBorder="1" applyAlignment="1">
      <alignment horizontal="right" vertical="top" wrapText="1"/>
    </xf>
    <xf numFmtId="4" fontId="1" fillId="0" borderId="17" xfId="0" applyNumberFormat="1" applyFont="1" applyBorder="1" applyAlignment="1">
      <alignment horizontal="right" vertical="top" wrapText="1"/>
    </xf>
    <xf numFmtId="0" fontId="2" fillId="0" borderId="2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44" fontId="4" fillId="0" borderId="0" xfId="45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view="pageBreakPreview" zoomScale="115" zoomScaleSheetLayoutView="115" zoomScalePageLayoutView="0" workbookViewId="0" topLeftCell="A37">
      <selection activeCell="D13" sqref="D13"/>
    </sheetView>
  </sheetViews>
  <sheetFormatPr defaultColWidth="9.140625" defaultRowHeight="12.75"/>
  <cols>
    <col min="1" max="1" width="32.421875" style="0" customWidth="1"/>
    <col min="2" max="8" width="15.7109375" style="0" customWidth="1"/>
    <col min="9" max="9" width="12.7109375" style="0" bestFit="1" customWidth="1"/>
  </cols>
  <sheetData>
    <row r="1" spans="1:8" ht="12.75" customHeight="1">
      <c r="A1" s="53" t="s">
        <v>44</v>
      </c>
      <c r="B1" s="53"/>
      <c r="C1" s="53"/>
      <c r="D1" s="53"/>
      <c r="E1" s="53"/>
      <c r="F1" s="53"/>
      <c r="G1" s="53"/>
      <c r="H1" s="53"/>
    </row>
    <row r="2" spans="1:8" ht="12.75" customHeight="1">
      <c r="A2" s="53"/>
      <c r="B2" s="53"/>
      <c r="C2" s="53"/>
      <c r="D2" s="53"/>
      <c r="E2" s="53"/>
      <c r="F2" s="53"/>
      <c r="G2" s="53"/>
      <c r="H2" s="53"/>
    </row>
    <row r="3" spans="1:8" ht="12.75" customHeight="1">
      <c r="A3" s="53"/>
      <c r="B3" s="53"/>
      <c r="C3" s="53"/>
      <c r="D3" s="53"/>
      <c r="E3" s="53"/>
      <c r="F3" s="53"/>
      <c r="G3" s="53"/>
      <c r="H3" s="53"/>
    </row>
    <row r="4" spans="1:8" ht="12.75" customHeight="1">
      <c r="A4" s="53"/>
      <c r="B4" s="53"/>
      <c r="C4" s="53"/>
      <c r="D4" s="53"/>
      <c r="E4" s="53"/>
      <c r="F4" s="53"/>
      <c r="G4" s="53"/>
      <c r="H4" s="53"/>
    </row>
    <row r="5" spans="1:8" ht="12.75" customHeight="1">
      <c r="A5" s="53"/>
      <c r="B5" s="53"/>
      <c r="C5" s="53"/>
      <c r="D5" s="53"/>
      <c r="E5" s="53"/>
      <c r="F5" s="53"/>
      <c r="G5" s="53"/>
      <c r="H5" s="53"/>
    </row>
    <row r="6" spans="1:8" ht="15" customHeight="1">
      <c r="A6" s="54" t="s">
        <v>51</v>
      </c>
      <c r="B6" s="54"/>
      <c r="C6" s="54"/>
      <c r="D6" s="54"/>
      <c r="E6" s="54"/>
      <c r="F6" s="54"/>
      <c r="G6" s="54"/>
      <c r="H6" s="54"/>
    </row>
    <row r="7" spans="1:8" ht="15" customHeight="1">
      <c r="A7" s="42"/>
      <c r="B7" s="42"/>
      <c r="C7" s="42"/>
      <c r="D7" s="42"/>
      <c r="E7" s="42"/>
      <c r="F7" s="42"/>
      <c r="G7" s="42"/>
      <c r="H7" s="42"/>
    </row>
    <row r="8" spans="1:8" ht="15" customHeight="1">
      <c r="A8" s="54" t="s">
        <v>57</v>
      </c>
      <c r="B8" s="54"/>
      <c r="C8" s="54"/>
      <c r="D8" s="54"/>
      <c r="E8" s="54"/>
      <c r="F8" s="54"/>
      <c r="G8" s="54"/>
      <c r="H8" s="54"/>
    </row>
    <row r="9" spans="1:8" ht="13.5" customHeight="1" thickBot="1">
      <c r="A9" s="32"/>
      <c r="B9" s="32"/>
      <c r="C9" s="32"/>
      <c r="D9" s="32"/>
      <c r="E9" s="32"/>
      <c r="F9" s="32"/>
      <c r="G9" s="32"/>
      <c r="H9" s="32"/>
    </row>
    <row r="10" spans="1:8" ht="12.75">
      <c r="A10" s="50" t="s">
        <v>0</v>
      </c>
      <c r="B10" s="6" t="s">
        <v>1</v>
      </c>
      <c r="C10" s="6" t="s">
        <v>1</v>
      </c>
      <c r="D10" s="6" t="s">
        <v>1</v>
      </c>
      <c r="E10" s="6" t="s">
        <v>1</v>
      </c>
      <c r="F10" s="6" t="s">
        <v>1</v>
      </c>
      <c r="G10" s="6" t="s">
        <v>1</v>
      </c>
      <c r="H10" s="48" t="s">
        <v>8</v>
      </c>
    </row>
    <row r="11" spans="1:8" ht="15.75" customHeight="1" thickBot="1">
      <c r="A11" s="51"/>
      <c r="B11" s="7" t="s">
        <v>2</v>
      </c>
      <c r="C11" s="7" t="s">
        <v>3</v>
      </c>
      <c r="D11" s="7" t="s">
        <v>4</v>
      </c>
      <c r="E11" s="7" t="s">
        <v>5</v>
      </c>
      <c r="F11" s="7" t="s">
        <v>6</v>
      </c>
      <c r="G11" s="7" t="s">
        <v>7</v>
      </c>
      <c r="H11" s="49"/>
    </row>
    <row r="12" spans="1:8" ht="14.25" customHeight="1">
      <c r="A12" s="1" t="s">
        <v>9</v>
      </c>
      <c r="B12" s="2"/>
      <c r="C12" s="2"/>
      <c r="D12" s="2"/>
      <c r="E12" s="2"/>
      <c r="F12" s="2"/>
      <c r="G12" s="2"/>
      <c r="H12" s="2"/>
    </row>
    <row r="13" spans="1:8" ht="14.25" customHeight="1">
      <c r="A13" s="3" t="s">
        <v>10</v>
      </c>
      <c r="B13" s="4"/>
      <c r="C13" s="2"/>
      <c r="D13" s="2"/>
      <c r="E13" s="2"/>
      <c r="F13" s="2"/>
      <c r="G13" s="2"/>
      <c r="H13" s="2"/>
    </row>
    <row r="14" spans="1:9" ht="14.25" customHeight="1">
      <c r="A14" s="3" t="s">
        <v>11</v>
      </c>
      <c r="B14" s="4">
        <f>H14*10.09/100</f>
        <v>1483230</v>
      </c>
      <c r="C14" s="4">
        <f>H14*31.43/100</f>
        <v>4620210</v>
      </c>
      <c r="D14" s="4">
        <f>H14*12.96/100</f>
        <v>1905120</v>
      </c>
      <c r="E14" s="4">
        <f>H14*14.07/100</f>
        <v>2068290</v>
      </c>
      <c r="F14" s="4">
        <f>H14*16.07/100</f>
        <v>2362290</v>
      </c>
      <c r="G14" s="4">
        <f>H14*15.38/100</f>
        <v>2260860</v>
      </c>
      <c r="H14" s="4">
        <v>14700000</v>
      </c>
      <c r="I14" s="24"/>
    </row>
    <row r="15" spans="1:9" ht="14.25" customHeight="1">
      <c r="A15" s="3" t="s">
        <v>48</v>
      </c>
      <c r="B15" s="4">
        <f>H15*16.41/100</f>
        <v>138008.1</v>
      </c>
      <c r="C15" s="4">
        <f>H15*17.16/100</f>
        <v>144315.6</v>
      </c>
      <c r="D15" s="4">
        <f>H15*17.2/100</f>
        <v>144652</v>
      </c>
      <c r="E15" s="4">
        <f>H15*16.08/100</f>
        <v>135232.8</v>
      </c>
      <c r="F15" s="4">
        <f>H15*16.68/100</f>
        <v>140278.8</v>
      </c>
      <c r="G15" s="4">
        <f>H15*16.47/100</f>
        <v>138512.69999999998</v>
      </c>
      <c r="H15" s="4">
        <v>841000</v>
      </c>
      <c r="I15" s="24"/>
    </row>
    <row r="16" spans="1:9" ht="14.25" customHeight="1">
      <c r="A16" s="3" t="s">
        <v>12</v>
      </c>
      <c r="B16" s="4">
        <v>55376.33</v>
      </c>
      <c r="C16" s="4">
        <f>H16*13.1/100</f>
        <v>64655.082749999994</v>
      </c>
      <c r="D16" s="4">
        <f>H16*22.77/100</f>
        <v>112381.39192499999</v>
      </c>
      <c r="E16" s="4">
        <f>H16*18.07/100</f>
        <v>89184.530175</v>
      </c>
      <c r="F16" s="4">
        <f>H16*26.55/100</f>
        <v>131037.59137500002</v>
      </c>
      <c r="G16" s="4">
        <f>H16*8.29/100</f>
        <v>40915.315725</v>
      </c>
      <c r="H16" s="4">
        <v>493550.25</v>
      </c>
      <c r="I16" s="24"/>
    </row>
    <row r="17" spans="1:9" ht="14.25" customHeight="1">
      <c r="A17" s="3" t="s">
        <v>13</v>
      </c>
      <c r="B17" s="4">
        <f>H17*19.67/100</f>
        <v>15302600.42556</v>
      </c>
      <c r="C17" s="4">
        <f>H17*16.25/100</f>
        <v>12641955.105</v>
      </c>
      <c r="D17" s="4">
        <f>H17*16.51/100</f>
        <v>12844226.38668</v>
      </c>
      <c r="E17" s="4">
        <f>H17*15.15/100</f>
        <v>11786191.9902</v>
      </c>
      <c r="F17" s="4">
        <f>H17*15.19/100</f>
        <v>11817310.64892</v>
      </c>
      <c r="G17" s="4">
        <v>13404362.25</v>
      </c>
      <c r="H17" s="4">
        <v>77796646.8</v>
      </c>
      <c r="I17" s="24"/>
    </row>
    <row r="18" spans="1:9" ht="14.25" customHeight="1">
      <c r="A18" s="3" t="s">
        <v>14</v>
      </c>
      <c r="B18" s="8">
        <f>H18*13.98/100</f>
        <v>365017.8</v>
      </c>
      <c r="C18" s="9">
        <f>H18*10.84/100</f>
        <v>283032.4</v>
      </c>
      <c r="D18" s="9">
        <f>H18*16.84/100</f>
        <v>439692.4</v>
      </c>
      <c r="E18" s="9">
        <f>H18*18.24/100</f>
        <v>476246.3999999999</v>
      </c>
      <c r="F18" s="9">
        <f>H18*13.71/100</f>
        <v>357968.1</v>
      </c>
      <c r="G18" s="9">
        <f>H18*26.39/100</f>
        <v>689042.9</v>
      </c>
      <c r="H18" s="9">
        <v>2611000</v>
      </c>
      <c r="I18" s="24"/>
    </row>
    <row r="19" spans="1:9" ht="19.5" customHeight="1">
      <c r="A19" s="18" t="s">
        <v>15</v>
      </c>
      <c r="B19" s="21">
        <f aca="true" t="shared" si="0" ref="B19:G19">SUM(B14:B18)</f>
        <v>17344232.65556</v>
      </c>
      <c r="C19" s="21">
        <f t="shared" si="0"/>
        <v>17754168.187749997</v>
      </c>
      <c r="D19" s="21">
        <f t="shared" si="0"/>
        <v>15446072.178605</v>
      </c>
      <c r="E19" s="21">
        <f t="shared" si="0"/>
        <v>14555145.720375</v>
      </c>
      <c r="F19" s="21">
        <f t="shared" si="0"/>
        <v>14808885.140294999</v>
      </c>
      <c r="G19" s="21">
        <f t="shared" si="0"/>
        <v>16533693.165725</v>
      </c>
      <c r="H19" s="21">
        <f>H18+H17+H16+H15+H14</f>
        <v>96442197.05</v>
      </c>
      <c r="I19" s="24"/>
    </row>
    <row r="20" spans="1:8" s="26" customFormat="1" ht="14.25" customHeight="1">
      <c r="A20" s="25"/>
      <c r="B20" s="11"/>
      <c r="D20" s="23"/>
      <c r="F20" s="23"/>
      <c r="G20" s="39"/>
      <c r="H20" s="45"/>
    </row>
    <row r="21" spans="1:8" ht="14.25" customHeight="1">
      <c r="A21" s="5"/>
      <c r="B21" s="4"/>
      <c r="C21" s="4"/>
      <c r="D21" s="4"/>
      <c r="E21" s="4"/>
      <c r="F21" s="4"/>
      <c r="G21" s="4"/>
      <c r="H21" s="4"/>
    </row>
    <row r="22" spans="1:8" ht="14.25" customHeight="1">
      <c r="A22" s="10" t="s">
        <v>16</v>
      </c>
      <c r="B22" s="4"/>
      <c r="C22" s="4"/>
      <c r="D22" s="4"/>
      <c r="E22" s="4"/>
      <c r="F22" s="4"/>
      <c r="G22" s="4"/>
      <c r="H22" s="4"/>
    </row>
    <row r="23" spans="1:8" ht="14.25" customHeight="1">
      <c r="A23" s="10" t="s">
        <v>17</v>
      </c>
      <c r="B23" s="8">
        <v>346368.67</v>
      </c>
      <c r="C23" s="8">
        <v>346368.67</v>
      </c>
      <c r="D23" s="8">
        <v>346368.67</v>
      </c>
      <c r="E23" s="8">
        <v>346368.67</v>
      </c>
      <c r="F23" s="8">
        <v>346368.67</v>
      </c>
      <c r="G23" s="8">
        <v>346368.65</v>
      </c>
      <c r="H23" s="9">
        <v>2078212</v>
      </c>
    </row>
    <row r="24" spans="1:9" ht="19.5" customHeight="1">
      <c r="A24" s="18" t="s">
        <v>18</v>
      </c>
      <c r="B24" s="19">
        <f aca="true" t="shared" si="1" ref="B24:G24">SUM(B23)</f>
        <v>346368.67</v>
      </c>
      <c r="C24" s="22">
        <f t="shared" si="1"/>
        <v>346368.67</v>
      </c>
      <c r="D24" s="20">
        <f t="shared" si="1"/>
        <v>346368.67</v>
      </c>
      <c r="E24" s="22">
        <f t="shared" si="1"/>
        <v>346368.67</v>
      </c>
      <c r="F24" s="20">
        <f t="shared" si="1"/>
        <v>346368.67</v>
      </c>
      <c r="G24" s="22">
        <f t="shared" si="1"/>
        <v>346368.65</v>
      </c>
      <c r="H24" s="21">
        <f>H23</f>
        <v>2078212</v>
      </c>
      <c r="I24" s="24"/>
    </row>
    <row r="25" spans="1:8" ht="14.25" customHeight="1">
      <c r="A25" s="10"/>
      <c r="B25" s="4"/>
      <c r="C25" s="4"/>
      <c r="D25" s="4"/>
      <c r="E25" s="4"/>
      <c r="F25" s="4"/>
      <c r="G25" s="4"/>
      <c r="H25" s="4"/>
    </row>
    <row r="26" spans="1:8" ht="14.25" customHeight="1">
      <c r="A26" s="3"/>
      <c r="B26" s="2"/>
      <c r="C26" s="2"/>
      <c r="D26" s="2"/>
      <c r="E26" s="2"/>
      <c r="F26" s="2"/>
      <c r="G26" s="2"/>
      <c r="H26" s="2"/>
    </row>
    <row r="27" spans="1:8" ht="14.25" customHeight="1">
      <c r="A27" s="3" t="s">
        <v>49</v>
      </c>
      <c r="B27" s="12"/>
      <c r="C27" s="13"/>
      <c r="D27" s="13"/>
      <c r="E27" s="13"/>
      <c r="F27" s="13"/>
      <c r="G27" s="13"/>
      <c r="H27" s="13"/>
    </row>
    <row r="28" spans="1:9" ht="14.25" customHeight="1">
      <c r="A28" s="3" t="s">
        <v>50</v>
      </c>
      <c r="B28" s="46">
        <f>H28*18.41/100</f>
        <v>-1849836.8</v>
      </c>
      <c r="C28" s="47">
        <f>H28*18.01/100</f>
        <v>-1809644.8000000003</v>
      </c>
      <c r="D28" s="47">
        <f>H28*16.71/100</f>
        <v>-1679020.8</v>
      </c>
      <c r="E28" s="47">
        <f>H28*15.89/100</f>
        <v>-1596627.2</v>
      </c>
      <c r="F28" s="47">
        <f>H28*14.45/100</f>
        <v>-1451936</v>
      </c>
      <c r="G28" s="47">
        <f>H28*16.53/100</f>
        <v>-1660934.4</v>
      </c>
      <c r="H28" s="47">
        <v>-10048000</v>
      </c>
      <c r="I28" s="24"/>
    </row>
    <row r="29" spans="1:8" ht="14.25" customHeight="1">
      <c r="A29" s="41"/>
      <c r="B29" s="14"/>
      <c r="C29" s="15"/>
      <c r="D29" s="15"/>
      <c r="E29" s="15"/>
      <c r="F29" s="15"/>
      <c r="G29" s="15"/>
      <c r="H29" s="15"/>
    </row>
    <row r="30" spans="1:9" ht="19.5" customHeight="1" thickBot="1">
      <c r="A30" s="16" t="s">
        <v>19</v>
      </c>
      <c r="B30" s="17">
        <f aca="true" t="shared" si="2" ref="B30:G30">B19+B24+B28</f>
        <v>15840764.525560003</v>
      </c>
      <c r="C30" s="17">
        <f t="shared" si="2"/>
        <v>16290892.057749998</v>
      </c>
      <c r="D30" s="17">
        <f t="shared" si="2"/>
        <v>14113420.048604999</v>
      </c>
      <c r="E30" s="17">
        <f t="shared" si="2"/>
        <v>13304887.190375</v>
      </c>
      <c r="F30" s="17">
        <f t="shared" si="2"/>
        <v>13703317.810294999</v>
      </c>
      <c r="G30" s="17">
        <f t="shared" si="2"/>
        <v>15219127.415724998</v>
      </c>
      <c r="H30" s="17">
        <f>B30+C30+D30+E30+F30+G30</f>
        <v>88472409.04831</v>
      </c>
      <c r="I30" s="24"/>
    </row>
    <row r="31" ht="12.75">
      <c r="H31" s="24"/>
    </row>
    <row r="32" ht="12.75">
      <c r="H32" s="24"/>
    </row>
    <row r="33" ht="12.75">
      <c r="C33" s="24"/>
    </row>
    <row r="36" spans="1:8" ht="12.75">
      <c r="A36" s="53" t="s">
        <v>44</v>
      </c>
      <c r="B36" s="53"/>
      <c r="C36" s="53"/>
      <c r="D36" s="53"/>
      <c r="E36" s="53"/>
      <c r="F36" s="53"/>
      <c r="G36" s="53"/>
      <c r="H36" s="53"/>
    </row>
    <row r="37" spans="1:8" ht="12.75">
      <c r="A37" s="53"/>
      <c r="B37" s="53"/>
      <c r="C37" s="53"/>
      <c r="D37" s="53"/>
      <c r="E37" s="53"/>
      <c r="F37" s="53"/>
      <c r="G37" s="53"/>
      <c r="H37" s="53"/>
    </row>
    <row r="38" spans="1:8" ht="12.75">
      <c r="A38" s="53"/>
      <c r="B38" s="53"/>
      <c r="C38" s="53"/>
      <c r="D38" s="53"/>
      <c r="E38" s="53"/>
      <c r="F38" s="53"/>
      <c r="G38" s="53"/>
      <c r="H38" s="53"/>
    </row>
    <row r="39" spans="1:8" ht="12.75">
      <c r="A39" s="53"/>
      <c r="B39" s="53"/>
      <c r="C39" s="53"/>
      <c r="D39" s="53"/>
      <c r="E39" s="53"/>
      <c r="F39" s="53"/>
      <c r="G39" s="53"/>
      <c r="H39" s="53"/>
    </row>
    <row r="40" spans="1:8" ht="12.75">
      <c r="A40" s="53"/>
      <c r="B40" s="53"/>
      <c r="C40" s="53"/>
      <c r="D40" s="53"/>
      <c r="E40" s="53"/>
      <c r="F40" s="53"/>
      <c r="G40" s="53"/>
      <c r="H40" s="53"/>
    </row>
    <row r="41" spans="1:8" ht="15.75">
      <c r="A41" s="54" t="s">
        <v>52</v>
      </c>
      <c r="B41" s="54"/>
      <c r="C41" s="54"/>
      <c r="D41" s="54"/>
      <c r="E41" s="54"/>
      <c r="F41" s="54"/>
      <c r="G41" s="54"/>
      <c r="H41" s="54"/>
    </row>
    <row r="42" spans="1:8" ht="13.5" thickBot="1">
      <c r="A42" s="31"/>
      <c r="B42" s="31"/>
      <c r="C42" s="31"/>
      <c r="D42" s="31"/>
      <c r="E42" s="31"/>
      <c r="F42" s="31"/>
      <c r="G42" s="31"/>
      <c r="H42" s="31"/>
    </row>
    <row r="43" spans="1:8" ht="12.75">
      <c r="A43" s="50" t="s">
        <v>20</v>
      </c>
      <c r="B43" s="48" t="s">
        <v>21</v>
      </c>
      <c r="C43" s="6" t="s">
        <v>1</v>
      </c>
      <c r="D43" s="6" t="s">
        <v>1</v>
      </c>
      <c r="E43" s="6" t="s">
        <v>1</v>
      </c>
      <c r="F43" s="6" t="s">
        <v>1</v>
      </c>
      <c r="G43" s="6" t="s">
        <v>1</v>
      </c>
      <c r="H43" s="48" t="s">
        <v>27</v>
      </c>
    </row>
    <row r="44" spans="1:8" ht="13.5" thickBot="1">
      <c r="A44" s="51"/>
      <c r="B44" s="49"/>
      <c r="C44" s="7" t="s">
        <v>22</v>
      </c>
      <c r="D44" s="7" t="s">
        <v>23</v>
      </c>
      <c r="E44" s="7" t="s">
        <v>24</v>
      </c>
      <c r="F44" s="7" t="s">
        <v>25</v>
      </c>
      <c r="G44" s="7" t="s">
        <v>26</v>
      </c>
      <c r="H44" s="49"/>
    </row>
    <row r="45" spans="1:8" ht="12.75">
      <c r="A45" s="1" t="s">
        <v>28</v>
      </c>
      <c r="B45" s="2"/>
      <c r="C45" s="2"/>
      <c r="D45" s="2"/>
      <c r="E45" s="2"/>
      <c r="F45" s="2"/>
      <c r="G45" s="2"/>
      <c r="H45" s="2"/>
    </row>
    <row r="46" spans="1:8" ht="12.75">
      <c r="A46" s="3" t="s">
        <v>29</v>
      </c>
      <c r="B46" s="2"/>
      <c r="C46" s="2"/>
      <c r="D46" s="2"/>
      <c r="E46" s="2"/>
      <c r="F46" s="2"/>
      <c r="G46" s="2"/>
      <c r="H46" s="2"/>
    </row>
    <row r="47" spans="1:8" ht="12.75">
      <c r="A47" s="3" t="s">
        <v>30</v>
      </c>
      <c r="B47" s="4">
        <f>H67*5.78/100</f>
        <v>2400095.6873520003</v>
      </c>
      <c r="C47" s="4">
        <f>H67*6.96/100</f>
        <v>2890080.6200640006</v>
      </c>
      <c r="D47" s="4">
        <f>H67*8.53/100</f>
        <v>3542009.725452</v>
      </c>
      <c r="E47" s="4">
        <f>H67*7.42/100</f>
        <v>3081091.695528</v>
      </c>
      <c r="F47" s="4">
        <f>H67*8.68/100</f>
        <v>3604295.945712</v>
      </c>
      <c r="G47" s="4">
        <f>H67*8.21/100</f>
        <v>3409132.4555640006</v>
      </c>
      <c r="H47" s="4">
        <f aca="true" t="shared" si="3" ref="H47:H58">SUM(B47:G47)</f>
        <v>18926706.129672002</v>
      </c>
    </row>
    <row r="48" spans="1:8" ht="12.75">
      <c r="A48" s="3" t="s">
        <v>31</v>
      </c>
      <c r="B48" s="4">
        <v>50000</v>
      </c>
      <c r="C48" s="4">
        <v>50000</v>
      </c>
      <c r="D48" s="4">
        <v>51000</v>
      </c>
      <c r="E48" s="4">
        <v>51000</v>
      </c>
      <c r="F48" s="4">
        <v>52000</v>
      </c>
      <c r="G48" s="4">
        <v>51000</v>
      </c>
      <c r="H48" s="4">
        <f t="shared" si="3"/>
        <v>305000</v>
      </c>
    </row>
    <row r="49" spans="1:8" ht="12.75">
      <c r="A49" s="3" t="s">
        <v>32</v>
      </c>
      <c r="B49" s="4">
        <f>H69*3.49/100</f>
        <v>1325660.802329</v>
      </c>
      <c r="C49" s="4">
        <f>H69*5.4/100</f>
        <v>2051165.7113400004</v>
      </c>
      <c r="D49" s="4">
        <v>3756672.02</v>
      </c>
      <c r="E49" s="4">
        <f>H69*11.48/100</f>
        <v>4360626.364108</v>
      </c>
      <c r="F49" s="4">
        <v>3380624.96</v>
      </c>
      <c r="G49" s="4">
        <v>2985585.64</v>
      </c>
      <c r="H49" s="4">
        <f t="shared" si="3"/>
        <v>17860335.497777</v>
      </c>
    </row>
    <row r="50" spans="1:8" ht="15" customHeight="1">
      <c r="A50" s="33" t="s">
        <v>33</v>
      </c>
      <c r="B50" s="4"/>
      <c r="C50" s="4"/>
      <c r="D50" s="4"/>
      <c r="E50" s="4"/>
      <c r="F50" s="4"/>
      <c r="G50" s="4"/>
      <c r="H50" s="4"/>
    </row>
    <row r="51" spans="1:8" ht="12.75">
      <c r="A51" s="3" t="s">
        <v>34</v>
      </c>
      <c r="B51" s="4">
        <f>H71*0.43/100</f>
        <v>20289.55</v>
      </c>
      <c r="C51" s="4">
        <f>H71*6.36/100</f>
        <v>300096.6</v>
      </c>
      <c r="D51" s="4">
        <f>H71*8.88/100</f>
        <v>419002.8</v>
      </c>
      <c r="E51" s="4">
        <f>H71*8.18/100</f>
        <v>385973.3</v>
      </c>
      <c r="F51" s="4">
        <f>H71*9.61/100</f>
        <v>453447.85</v>
      </c>
      <c r="G51" s="4">
        <f>H71*3.99/100</f>
        <v>188268.15</v>
      </c>
      <c r="H51" s="4">
        <f t="shared" si="3"/>
        <v>1767078.25</v>
      </c>
    </row>
    <row r="52" spans="1:8" ht="12.75">
      <c r="A52" s="3" t="s">
        <v>35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f t="shared" si="3"/>
        <v>0</v>
      </c>
    </row>
    <row r="53" spans="1:8" ht="14.25" customHeight="1">
      <c r="A53" s="3" t="s">
        <v>36</v>
      </c>
      <c r="B53" s="40">
        <v>18750</v>
      </c>
      <c r="C53" s="40">
        <v>18750</v>
      </c>
      <c r="D53" s="40">
        <v>18750</v>
      </c>
      <c r="E53" s="40">
        <v>18750</v>
      </c>
      <c r="F53" s="40">
        <v>18750</v>
      </c>
      <c r="G53" s="40">
        <v>18750</v>
      </c>
      <c r="H53" s="4">
        <f t="shared" si="3"/>
        <v>112500</v>
      </c>
    </row>
    <row r="54" spans="1:8" ht="14.25" customHeight="1">
      <c r="A54" s="3" t="s">
        <v>47</v>
      </c>
      <c r="B54" s="4"/>
      <c r="C54" s="4"/>
      <c r="D54" s="4"/>
      <c r="E54" s="4"/>
      <c r="F54" s="4"/>
      <c r="G54" s="4"/>
      <c r="H54" s="4"/>
    </row>
    <row r="55" spans="1:8" ht="14.25" customHeight="1">
      <c r="A55" s="3" t="s">
        <v>45</v>
      </c>
      <c r="B55" s="4">
        <v>1000</v>
      </c>
      <c r="C55" s="4">
        <v>1000</v>
      </c>
      <c r="D55" s="4">
        <v>1000</v>
      </c>
      <c r="E55" s="4">
        <v>1000</v>
      </c>
      <c r="F55" s="4">
        <v>1000</v>
      </c>
      <c r="G55" s="4">
        <v>1000</v>
      </c>
      <c r="H55" s="4">
        <f>SUM(B55:G55)</f>
        <v>6000</v>
      </c>
    </row>
    <row r="56" spans="1:8" ht="14.25" customHeight="1">
      <c r="A56" s="3" t="s">
        <v>54</v>
      </c>
      <c r="B56" s="4"/>
      <c r="C56" s="4"/>
      <c r="D56" s="4"/>
      <c r="E56" s="4"/>
      <c r="F56" s="4"/>
      <c r="G56" s="4"/>
      <c r="H56" s="4"/>
    </row>
    <row r="57" spans="1:8" ht="14.25" customHeight="1">
      <c r="A57" s="3" t="s">
        <v>55</v>
      </c>
      <c r="B57" s="4">
        <v>108333.35</v>
      </c>
      <c r="C57" s="4">
        <v>108333.33</v>
      </c>
      <c r="D57" s="4">
        <v>108333.33</v>
      </c>
      <c r="E57" s="4">
        <v>108333.33</v>
      </c>
      <c r="F57" s="4">
        <v>108333.33</v>
      </c>
      <c r="G57" s="4">
        <v>108333.33</v>
      </c>
      <c r="H57" s="40">
        <f t="shared" si="3"/>
        <v>650000</v>
      </c>
    </row>
    <row r="58" spans="1:8" ht="14.25" customHeight="1" thickBot="1">
      <c r="A58" s="30" t="s">
        <v>56</v>
      </c>
      <c r="B58" s="27">
        <v>173184.33</v>
      </c>
      <c r="C58" s="27">
        <v>173184.33</v>
      </c>
      <c r="D58" s="27">
        <v>173184.33</v>
      </c>
      <c r="E58" s="27">
        <v>173184.33</v>
      </c>
      <c r="F58" s="27">
        <v>173184.33</v>
      </c>
      <c r="G58" s="27">
        <v>173184.33</v>
      </c>
      <c r="H58" s="27">
        <f t="shared" si="3"/>
        <v>1039105.9799999999</v>
      </c>
    </row>
    <row r="59" spans="1:8" ht="26.25" customHeight="1" thickBot="1">
      <c r="A59" s="16" t="s">
        <v>37</v>
      </c>
      <c r="B59" s="17">
        <f aca="true" t="shared" si="4" ref="B59:H59">SUM(B47:B58)</f>
        <v>4097313.7196810003</v>
      </c>
      <c r="C59" s="17">
        <f t="shared" si="4"/>
        <v>5592610.591404</v>
      </c>
      <c r="D59" s="17">
        <f t="shared" si="4"/>
        <v>8069952.205452</v>
      </c>
      <c r="E59" s="17">
        <f t="shared" si="4"/>
        <v>8179959.0196360005</v>
      </c>
      <c r="F59" s="17">
        <f t="shared" si="4"/>
        <v>7791636.415712</v>
      </c>
      <c r="G59" s="17">
        <f t="shared" si="4"/>
        <v>6935253.905564001</v>
      </c>
      <c r="H59" s="17">
        <f t="shared" si="4"/>
        <v>40666725.857449</v>
      </c>
    </row>
    <row r="60" spans="1:8" ht="12.75">
      <c r="A60" s="28"/>
      <c r="B60" s="29"/>
      <c r="C60" s="29"/>
      <c r="D60" s="29"/>
      <c r="E60" s="29"/>
      <c r="F60" s="29"/>
      <c r="G60" s="29"/>
      <c r="H60" s="29"/>
    </row>
    <row r="61" ht="13.5" thickBot="1"/>
    <row r="62" spans="1:8" ht="12.75">
      <c r="A62" s="50" t="s">
        <v>20</v>
      </c>
      <c r="B62" s="6" t="s">
        <v>1</v>
      </c>
      <c r="C62" s="6" t="s">
        <v>1</v>
      </c>
      <c r="D62" s="6" t="s">
        <v>1</v>
      </c>
      <c r="E62" s="6" t="s">
        <v>1</v>
      </c>
      <c r="F62" s="6" t="s">
        <v>1</v>
      </c>
      <c r="G62" s="6" t="s">
        <v>1</v>
      </c>
      <c r="H62" s="48" t="s">
        <v>8</v>
      </c>
    </row>
    <row r="63" spans="1:8" ht="13.5" thickBot="1">
      <c r="A63" s="51"/>
      <c r="B63" s="7" t="s">
        <v>38</v>
      </c>
      <c r="C63" s="7" t="s">
        <v>39</v>
      </c>
      <c r="D63" s="7" t="s">
        <v>40</v>
      </c>
      <c r="E63" s="7" t="s">
        <v>41</v>
      </c>
      <c r="F63" s="7" t="s">
        <v>42</v>
      </c>
      <c r="G63" s="7" t="s">
        <v>43</v>
      </c>
      <c r="H63" s="49"/>
    </row>
    <row r="64" spans="1:8" ht="12.75">
      <c r="A64" s="3"/>
      <c r="B64" s="2"/>
      <c r="C64" s="2"/>
      <c r="D64" s="2"/>
      <c r="E64" s="2"/>
      <c r="F64" s="2"/>
      <c r="G64" s="2"/>
      <c r="H64" s="2"/>
    </row>
    <row r="65" spans="1:8" ht="12.75">
      <c r="A65" s="1" t="s">
        <v>28</v>
      </c>
      <c r="B65" s="2"/>
      <c r="C65" s="2"/>
      <c r="D65" s="2"/>
      <c r="E65" s="2"/>
      <c r="F65" s="2"/>
      <c r="G65" s="2"/>
      <c r="H65" s="2"/>
    </row>
    <row r="66" spans="1:8" ht="12.75">
      <c r="A66" s="3" t="s">
        <v>29</v>
      </c>
      <c r="B66" s="2"/>
      <c r="C66" s="2"/>
      <c r="D66" s="2"/>
      <c r="E66" s="2"/>
      <c r="F66" s="2"/>
      <c r="G66" s="2"/>
      <c r="H66" s="2"/>
    </row>
    <row r="67" spans="1:9" ht="12.75">
      <c r="A67" s="3" t="s">
        <v>30</v>
      </c>
      <c r="B67" s="4">
        <f>H67*7.73/100</f>
        <v>3209816.5507320003</v>
      </c>
      <c r="C67" s="4">
        <f>H67*11.06/100</f>
        <v>4592570.640504001</v>
      </c>
      <c r="D67" s="4">
        <f>H67*8.11/100</f>
        <v>3367608.3087239997</v>
      </c>
      <c r="E67" s="4">
        <f>H67*7.04/100</f>
        <v>2923299.937536</v>
      </c>
      <c r="F67" s="4">
        <f>H67*7.91/100</f>
        <v>3284560.015044</v>
      </c>
      <c r="G67" s="4">
        <f>H67*12.57/100</f>
        <v>5219585.257788001</v>
      </c>
      <c r="H67" s="4">
        <v>41524146.84</v>
      </c>
      <c r="I67" s="24"/>
    </row>
    <row r="68" spans="1:9" ht="12.75">
      <c r="A68" s="3" t="s">
        <v>31</v>
      </c>
      <c r="B68" s="4">
        <v>52000</v>
      </c>
      <c r="C68" s="4">
        <v>52000</v>
      </c>
      <c r="D68" s="4">
        <v>53000</v>
      </c>
      <c r="E68" s="4">
        <v>54000</v>
      </c>
      <c r="F68" s="4">
        <v>54000</v>
      </c>
      <c r="G68" s="4">
        <v>55000</v>
      </c>
      <c r="H68" s="4">
        <v>625000</v>
      </c>
      <c r="I68" s="24"/>
    </row>
    <row r="69" spans="1:9" ht="12.75">
      <c r="A69" s="3" t="s">
        <v>32</v>
      </c>
      <c r="B69" s="4">
        <f>H69*8.14/100</f>
        <v>3091942.3870940004</v>
      </c>
      <c r="C69" s="4">
        <f>H69*8.56/100</f>
        <v>3251477.4979760004</v>
      </c>
      <c r="D69" s="4">
        <f>H69*8.5/100</f>
        <v>3228686.7678500004</v>
      </c>
      <c r="E69" s="4">
        <v>3145120.77</v>
      </c>
      <c r="F69" s="4">
        <f>H69*7.45/100</f>
        <v>2829848.9906450002</v>
      </c>
      <c r="G69" s="4">
        <v>4577138.3</v>
      </c>
      <c r="H69" s="4">
        <v>37984550.21</v>
      </c>
      <c r="I69" s="24"/>
    </row>
    <row r="70" spans="1:8" ht="15" customHeight="1">
      <c r="A70" s="33" t="s">
        <v>33</v>
      </c>
      <c r="B70" s="4"/>
      <c r="C70" s="4"/>
      <c r="D70" s="4"/>
      <c r="E70" s="4"/>
      <c r="F70" s="4"/>
      <c r="G70" s="4"/>
      <c r="H70" s="34"/>
    </row>
    <row r="71" spans="1:9" ht="12.75">
      <c r="A71" s="3" t="s">
        <v>34</v>
      </c>
      <c r="B71" s="4">
        <f>H71*6.45/100</f>
        <v>304343.25</v>
      </c>
      <c r="C71" s="4">
        <f>H71*14.98/100</f>
        <v>706831.3</v>
      </c>
      <c r="D71" s="4">
        <f>H71*5.27/100</f>
        <v>248664.94999999995</v>
      </c>
      <c r="E71" s="4">
        <f>H71*6.97/100</f>
        <v>328879.45</v>
      </c>
      <c r="F71" s="4">
        <f>H71*11.99/100</f>
        <v>565748.15</v>
      </c>
      <c r="G71" s="4">
        <f>H71*16.89/100</f>
        <v>796954.65</v>
      </c>
      <c r="H71" s="4">
        <v>4718500</v>
      </c>
      <c r="I71" s="24"/>
    </row>
    <row r="72" spans="1:9" ht="12.75">
      <c r="A72" s="3" t="s">
        <v>35</v>
      </c>
      <c r="B72" s="4">
        <v>0</v>
      </c>
      <c r="C72" s="4">
        <v>0</v>
      </c>
      <c r="D72" s="4">
        <v>0</v>
      </c>
      <c r="E72" s="4">
        <v>2000</v>
      </c>
      <c r="F72" s="4">
        <v>0</v>
      </c>
      <c r="G72" s="4">
        <v>0</v>
      </c>
      <c r="H72" s="4">
        <v>2000</v>
      </c>
      <c r="I72" s="24"/>
    </row>
    <row r="73" spans="1:9" ht="12.75">
      <c r="A73" s="3" t="s">
        <v>36</v>
      </c>
      <c r="B73" s="40">
        <v>18750</v>
      </c>
      <c r="C73" s="40">
        <v>18750</v>
      </c>
      <c r="D73" s="40">
        <v>18750</v>
      </c>
      <c r="E73" s="40">
        <v>18750</v>
      </c>
      <c r="F73" s="40">
        <v>18750</v>
      </c>
      <c r="G73" s="40">
        <v>18750</v>
      </c>
      <c r="H73" s="4">
        <v>225000</v>
      </c>
      <c r="I73" s="24"/>
    </row>
    <row r="74" spans="1:8" ht="12.75">
      <c r="A74" s="3" t="s">
        <v>53</v>
      </c>
      <c r="B74" s="4"/>
      <c r="C74" s="4"/>
      <c r="D74" s="4"/>
      <c r="E74" s="4"/>
      <c r="F74" s="4"/>
      <c r="G74" s="4"/>
      <c r="H74" s="4"/>
    </row>
    <row r="75" spans="1:9" ht="12.75">
      <c r="A75" s="3" t="s">
        <v>46</v>
      </c>
      <c r="B75" s="4">
        <v>1000</v>
      </c>
      <c r="C75" s="4">
        <v>1000</v>
      </c>
      <c r="D75" s="4">
        <v>1000</v>
      </c>
      <c r="E75" s="4">
        <v>2000</v>
      </c>
      <c r="F75" s="4">
        <v>2000</v>
      </c>
      <c r="G75" s="4">
        <v>2000</v>
      </c>
      <c r="H75" s="4">
        <v>15000</v>
      </c>
      <c r="I75" s="24"/>
    </row>
    <row r="76" spans="1:8" ht="12.75">
      <c r="A76" s="3" t="s">
        <v>54</v>
      </c>
      <c r="B76" s="4"/>
      <c r="C76" s="4"/>
      <c r="D76" s="4"/>
      <c r="E76" s="4"/>
      <c r="F76" s="4"/>
      <c r="G76" s="4"/>
      <c r="H76" s="4"/>
    </row>
    <row r="77" spans="1:9" ht="12.75">
      <c r="A77" s="3" t="s">
        <v>55</v>
      </c>
      <c r="B77" s="4">
        <v>108333.33</v>
      </c>
      <c r="C77" s="4">
        <v>108333.33</v>
      </c>
      <c r="D77" s="4">
        <v>108333.33</v>
      </c>
      <c r="E77" s="4">
        <v>108333.33</v>
      </c>
      <c r="F77" s="4">
        <v>108333.33</v>
      </c>
      <c r="G77" s="4">
        <v>108333.35</v>
      </c>
      <c r="H77" s="4">
        <f>H57+B77+C77+D77+E77+F77+G77</f>
        <v>1300000</v>
      </c>
      <c r="I77" s="24"/>
    </row>
    <row r="78" spans="1:9" ht="13.5" thickBot="1">
      <c r="A78" s="30" t="s">
        <v>56</v>
      </c>
      <c r="B78" s="27">
        <v>173184.37</v>
      </c>
      <c r="C78" s="27">
        <v>173184.33</v>
      </c>
      <c r="D78" s="27">
        <v>173184.33</v>
      </c>
      <c r="E78" s="27">
        <v>173184.33</v>
      </c>
      <c r="F78" s="27">
        <v>173184.33</v>
      </c>
      <c r="G78" s="27">
        <v>173184.33</v>
      </c>
      <c r="H78" s="43">
        <f>H58+B78+C78+D78+E78+F78+G78</f>
        <v>2078212.0000000002</v>
      </c>
      <c r="I78" s="24"/>
    </row>
    <row r="79" spans="1:9" ht="25.5" customHeight="1" thickBot="1">
      <c r="A79" s="16" t="s">
        <v>37</v>
      </c>
      <c r="B79" s="17">
        <f aca="true" t="shared" si="5" ref="B79:G79">SUM(B67:B78)</f>
        <v>6959369.887826</v>
      </c>
      <c r="C79" s="17">
        <f t="shared" si="5"/>
        <v>8904147.098480001</v>
      </c>
      <c r="D79" s="17">
        <f t="shared" si="5"/>
        <v>7199227.686574</v>
      </c>
      <c r="E79" s="17">
        <f t="shared" si="5"/>
        <v>6755567.817536</v>
      </c>
      <c r="F79" s="17">
        <f t="shared" si="5"/>
        <v>7036424.815689001</v>
      </c>
      <c r="G79" s="17">
        <f t="shared" si="5"/>
        <v>10950945.887788</v>
      </c>
      <c r="H79" s="17">
        <f>B59+C59+D59+E59+F59+G59+B79+C79+D79+E79+F79+G79</f>
        <v>88472409.051342</v>
      </c>
      <c r="I79" s="44"/>
    </row>
    <row r="80" ht="12.75">
      <c r="H80" s="24"/>
    </row>
    <row r="81" ht="12.75">
      <c r="C81" s="24"/>
    </row>
    <row r="82" ht="12.75">
      <c r="D82" s="24"/>
    </row>
    <row r="83" spans="1:6" ht="15.75">
      <c r="A83" s="52"/>
      <c r="B83" s="52"/>
      <c r="C83" s="52"/>
      <c r="D83" s="52"/>
      <c r="E83" s="52"/>
      <c r="F83" s="52"/>
    </row>
    <row r="84" spans="1:7" ht="15.75">
      <c r="A84" s="36"/>
      <c r="D84" s="24"/>
      <c r="G84" s="24"/>
    </row>
    <row r="85" spans="1:4" ht="15.75">
      <c r="A85" s="36"/>
      <c r="D85" s="24"/>
    </row>
    <row r="86" ht="15.75">
      <c r="A86" s="36"/>
    </row>
    <row r="87" ht="15.75">
      <c r="A87" s="36"/>
    </row>
    <row r="88" ht="15.75">
      <c r="A88" s="36"/>
    </row>
    <row r="89" spans="6:8" ht="12.75" customHeight="1">
      <c r="F89" s="36"/>
      <c r="G89" s="38"/>
      <c r="H89" s="38"/>
    </row>
    <row r="90" ht="15.75">
      <c r="A90" s="35"/>
    </row>
    <row r="91" ht="15.75">
      <c r="A91" s="35"/>
    </row>
    <row r="92" spans="3:4" ht="15.75">
      <c r="C92" s="36"/>
      <c r="D92" s="36"/>
    </row>
    <row r="93" ht="15.75">
      <c r="A93" s="35"/>
    </row>
    <row r="94" ht="15.75">
      <c r="A94" s="37"/>
    </row>
    <row r="95" ht="15.75">
      <c r="A95" s="36"/>
    </row>
    <row r="96" ht="15.75">
      <c r="A96" s="36"/>
    </row>
    <row r="97" ht="15.75">
      <c r="A97" s="36"/>
    </row>
  </sheetData>
  <sheetProtection/>
  <mergeCells count="13">
    <mergeCell ref="A83:F83"/>
    <mergeCell ref="A1:H5"/>
    <mergeCell ref="A36:H40"/>
    <mergeCell ref="A6:H6"/>
    <mergeCell ref="A41:H41"/>
    <mergeCell ref="A62:A63"/>
    <mergeCell ref="A8:H8"/>
    <mergeCell ref="H62:H63"/>
    <mergeCell ref="A10:A11"/>
    <mergeCell ref="H10:H11"/>
    <mergeCell ref="A43:A44"/>
    <mergeCell ref="B43:B44"/>
    <mergeCell ref="H43:H44"/>
  </mergeCells>
  <printOptions/>
  <pageMargins left="3.0314960629921264" right="0.3937007874015748" top="0.3937007874015748" bottom="0.3937007874015748" header="0.5118110236220472" footer="0.5118110236220472"/>
  <pageSetup horizontalDpi="600" verticalDpi="600" orientation="landscape" paperSize="5" scale="94" r:id="rId4"/>
  <rowBreaks count="2" manualBreakCount="2">
    <brk id="35" max="7" man="1"/>
    <brk id="79" max="7" man="1"/>
  </rowBreaks>
  <legacyDrawing r:id="rId3"/>
  <oleObjects>
    <oleObject progId="PBrush" shapeId="1135056" r:id="rId1"/>
    <oleObject progId="PBrush" shapeId="118014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cliente</cp:lastModifiedBy>
  <cp:lastPrinted>2012-01-05T17:10:09Z</cp:lastPrinted>
  <dcterms:created xsi:type="dcterms:W3CDTF">2007-02-05T17:04:29Z</dcterms:created>
  <dcterms:modified xsi:type="dcterms:W3CDTF">2012-01-05T17:39:04Z</dcterms:modified>
  <cp:category/>
  <cp:version/>
  <cp:contentType/>
  <cp:contentStatus/>
</cp:coreProperties>
</file>