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CRONOGRAMA" sheetId="8" r:id="rId1"/>
    <sheet name="Planilha1" sheetId="1" r:id="rId2"/>
    <sheet name="MEMÓRIA" sheetId="3" r:id="rId3"/>
  </sheets>
  <externalReferences>
    <externalReference r:id="rId6"/>
    <externalReference r:id="rId7"/>
    <externalReference r:id="rId8"/>
  </externalReferences>
  <definedNames>
    <definedName name="_xlnm.Print_Area" localSheetId="0">'CRONOGRAMA'!$A$1:$N$98</definedName>
    <definedName name="_xlnm.Print_Area" localSheetId="2">'MEMÓRIA'!$A$1:$E$54</definedName>
    <definedName name="_xlnm.Print_Area" localSheetId="1">'Planilha1'!$A$1:$I$37</definedName>
    <definedName name="brasao">INDEX('[1]INFO'!$B$47:$D$76,'[1]INFO'!$F$47,3)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<sst xmlns="http://schemas.openxmlformats.org/spreadsheetml/2006/main" count="600" uniqueCount="272">
  <si>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</si>
  <si>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</si>
  <si>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</si>
  <si>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</si>
  <si>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</si>
  <si>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</si>
  <si>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</si>
  <si>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</si>
  <si>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</si>
  <si>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</si>
  <si>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</si>
  <si>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</si>
  <si>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</si>
  <si>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</si>
  <si>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</si>
  <si>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</si>
  <si>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</si>
  <si>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</si>
  <si>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2.4</t>
  </si>
  <si>
    <t>M2</t>
  </si>
  <si>
    <t>M3</t>
  </si>
  <si>
    <t>Demolição manual de concreto simples</t>
  </si>
  <si>
    <t>03.01.020</t>
  </si>
  <si>
    <t>3.</t>
  </si>
  <si>
    <t>3.1</t>
  </si>
  <si>
    <t>PISOS</t>
  </si>
  <si>
    <t>FDE</t>
  </si>
  <si>
    <t>3.2</t>
  </si>
  <si>
    <t>Emboço comum</t>
  </si>
  <si>
    <t>17.02.120</t>
  </si>
  <si>
    <t>Chapisco</t>
  </si>
  <si>
    <t>Reboco</t>
  </si>
  <si>
    <t>17.02.020</t>
  </si>
  <si>
    <t>17.02.220</t>
  </si>
  <si>
    <t>4.</t>
  </si>
  <si>
    <t>4.1</t>
  </si>
  <si>
    <t>4.2</t>
  </si>
  <si>
    <t>Alvenaria de bloco cerâmico de vedação, uso revestido, de 14 cm</t>
  </si>
  <si>
    <t>14.04.210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</si>
  <si>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</si>
  <si>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</si>
  <si>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</si>
  <si>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</si>
  <si>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</si>
  <si>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</si>
  <si>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</si>
  <si>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</si>
  <si>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</si>
  <si>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6.6</t>
  </si>
  <si>
    <t>7.</t>
  </si>
  <si>
    <t>7.1</t>
  </si>
  <si>
    <t>COBERTURA</t>
  </si>
  <si>
    <t>CDHU VERSÃO 186 NÃO DESONERADO</t>
  </si>
  <si>
    <t>SINAPI ABRIL/2022 NÃO DESONERADO</t>
  </si>
  <si>
    <t>FDE ABRIL/2022 NÃO DESONERADO</t>
  </si>
  <si>
    <t>SIURB JULHO/2021 NÃO DESONERADO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</si>
  <si>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</si>
  <si>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</si>
  <si>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</si>
  <si>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</si>
  <si>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</si>
  <si>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</si>
  <si>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</si>
  <si>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</si>
  <si>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</si>
  <si>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11.18.040</t>
  </si>
  <si>
    <t>11.01.130</t>
  </si>
  <si>
    <t>11.16.040</t>
  </si>
  <si>
    <t>09.01.020</t>
  </si>
  <si>
    <t>10.01.040</t>
  </si>
  <si>
    <t>SUPERESTRUTURA</t>
  </si>
  <si>
    <t>33.10.020</t>
  </si>
  <si>
    <t>TOTAL GERAL COM BDI</t>
  </si>
  <si>
    <t>ALVARO FLORIAM GEBRAIEL BELLAZ</t>
  </si>
  <si>
    <t>CREA: 507.011.280-5</t>
  </si>
  <si>
    <t>SECRETÁRIO DE OBRAS E PLANEJAMENTO</t>
  </si>
  <si>
    <t>2.</t>
  </si>
  <si>
    <t>7.4</t>
  </si>
  <si>
    <t>7.5</t>
  </si>
  <si>
    <t>7.6</t>
  </si>
  <si>
    <t>6.7</t>
  </si>
  <si>
    <t>6.8</t>
  </si>
  <si>
    <t>6.9</t>
  </si>
  <si>
    <t>REFERÊNCIA</t>
  </si>
  <si>
    <t>3.3</t>
  </si>
  <si>
    <t>7.8</t>
  </si>
  <si>
    <t>7.9</t>
  </si>
  <si>
    <t>7.10</t>
  </si>
  <si>
    <t>7.11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</si>
  <si>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</si>
  <si>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</si>
  <si>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</si>
  <si>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</si>
  <si>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</si>
  <si>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</si>
  <si>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</si>
  <si>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</si>
  <si>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</si>
  <si>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</si>
  <si>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4.5</t>
  </si>
  <si>
    <t>5.3</t>
  </si>
  <si>
    <t>5.4</t>
  </si>
  <si>
    <t>5.5</t>
  </si>
  <si>
    <t>Cumeeira de barro emboçado tipos: plan, romana, italiana, francesa e paulistinha</t>
  </si>
  <si>
    <t>16.02.230</t>
  </si>
  <si>
    <t>concreto * 100</t>
  </si>
  <si>
    <t>Estrutura de madeira tesourada para telha de barro ‐ vãos até 7,00 m</t>
  </si>
  <si>
    <t>Telha de barro tipo romana</t>
  </si>
  <si>
    <t>15.01.010</t>
  </si>
  <si>
    <t>16.02.030</t>
  </si>
  <si>
    <t>Testeira em tábua aparelhada, largura até 20cm</t>
  </si>
  <si>
    <t>22.01.210</t>
  </si>
  <si>
    <t>6.10</t>
  </si>
  <si>
    <t>CRONOGRAMA FÍSICO FINANCEIRO</t>
  </si>
  <si>
    <t>1º MÊS</t>
  </si>
  <si>
    <t>2º MÊS</t>
  </si>
  <si>
    <t>3º MÊS</t>
  </si>
  <si>
    <t>4º MÊS</t>
  </si>
  <si>
    <t>5º MÊS</t>
  </si>
  <si>
    <t>EXECUÇÃO DE PRAÇA NO BAIRRO ALTOS DO TIETÊ</t>
  </si>
  <si>
    <t>LOCAL: RUA VITÓRIO GARDENAL, S/N - ALTOS DO TIETÊ</t>
  </si>
  <si>
    <t>SERVIÇOS PRELIMINARES</t>
  </si>
  <si>
    <t>Taxa de mobilização e desmobilização de equipamentos para execução de levantamento topográfico</t>
  </si>
  <si>
    <t>01.20.010</t>
  </si>
  <si>
    <t>TX</t>
  </si>
  <si>
    <t>Projeto executivo de arquitetura em formato A1</t>
  </si>
  <si>
    <t>01.17.031</t>
  </si>
  <si>
    <t>Placa de identificação para obra</t>
  </si>
  <si>
    <t>02.08.020</t>
  </si>
  <si>
    <t>Aterro mecanizado por compensação, solo de 1ª categoria em campo aberto, sem compactação do aterro</t>
  </si>
  <si>
    <t>07.12.040</t>
  </si>
  <si>
    <t>área total terreno</t>
  </si>
  <si>
    <t>placa 2,00 x 1,50 m</t>
  </si>
  <si>
    <t>movimentação de terra para acerto do terreno                                estimado área terreno/2 * 0,20 m</t>
  </si>
  <si>
    <t>demolição de calçada esxistente 25,00 * 2,80 m</t>
  </si>
  <si>
    <t>Regularização e compactação mecanizada de superfície, sem controle do proctor normal</t>
  </si>
  <si>
    <t>54.01.010</t>
  </si>
  <si>
    <t>Execução de passeio (calçada) ou piso de concreto moldado in loco, usinado, acabamento convencional, não armado</t>
  </si>
  <si>
    <t>SINAPI</t>
  </si>
  <si>
    <t>detalhes piso em mosaico</t>
  </si>
  <si>
    <t>QUIOSQUE</t>
  </si>
  <si>
    <t>ALVENARIA E REVESTIMENTOS</t>
  </si>
  <si>
    <t xml:space="preserve">Tinta látex em massa, inclusive preparo 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</si>
  <si>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</si>
  <si>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</si>
  <si>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</si>
  <si>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</si>
  <si>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</si>
  <si>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</si>
  <si>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</si>
  <si>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</si>
  <si>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</si>
  <si>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</si>
  <si>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</si>
  <si>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</si>
  <si>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</si>
  <si>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</si>
  <si>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</si>
  <si>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</si>
  <si>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</si>
  <si>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</si>
  <si>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15,00 M * 0,20 M * 0,30 M</t>
  </si>
  <si>
    <t>15,00 M * 0,20 * 0,05</t>
  </si>
  <si>
    <t>15,00 * 0,20* 2</t>
  </si>
  <si>
    <t>cocnreto* 100</t>
  </si>
  <si>
    <t>5 unidades * 3,00 m profund.</t>
  </si>
  <si>
    <t>pilares: 0,25 * 0,25 * 2,80 (h) * 5 unidades</t>
  </si>
  <si>
    <t>(0,25 * 4) * 2,80 * 5</t>
  </si>
  <si>
    <t xml:space="preserve">12,00 m * 0,40 (h) </t>
  </si>
  <si>
    <t>4,80 m2 * 2</t>
  </si>
  <si>
    <t>projeção horizontal da cobertura</t>
  </si>
  <si>
    <t>projeção horizontal + 8%</t>
  </si>
  <si>
    <t>Piso em pedra portuguesa assetado sobre argamassa de cimento e areia, traço 1:3 rejuntado com cimento comum</t>
  </si>
  <si>
    <t>Pilar quadrado não aparelhado 20 X 20 cm em macaranduba, angelim ou equivalente da região - bruta</t>
  </si>
  <si>
    <t>SINAPI INSUMOS</t>
  </si>
  <si>
    <t>Viga não aparelhado 6 X 20 cm em macaranduba, angelim ou equivalente da região - bruta</t>
  </si>
  <si>
    <t>Viga não aparelhado 6 X 16 cm em macaranduba, angelim ou equivalente da região - bruta</t>
  </si>
  <si>
    <t>Recolocação de peças lineares em madeira com seção superior a 60 cm²</t>
  </si>
  <si>
    <t>15.20.060</t>
  </si>
  <si>
    <t>Verniz em superfície de madeira</t>
  </si>
  <si>
    <t>33.05.330</t>
  </si>
  <si>
    <t>3.4</t>
  </si>
  <si>
    <t>3.5</t>
  </si>
  <si>
    <t>3.6</t>
  </si>
  <si>
    <t>3.7</t>
  </si>
  <si>
    <t>4 pilares * 3,50 (h) * 2 pergolados</t>
  </si>
  <si>
    <t>concreto chumbamento dos pilares: 1,00 * 0,50 * 0,50 * 4 unidades * 2 pergolados</t>
  </si>
  <si>
    <t>escavação para chumbamento dos pilares: 1,00 * 0,50 * 0,50 * 4 unidades * 2 pergolados</t>
  </si>
  <si>
    <t>montagem da estrutura do pergolado</t>
  </si>
  <si>
    <t>PERGOLADOS</t>
  </si>
  <si>
    <t>ILUMINAÇÃO</t>
  </si>
  <si>
    <t>13 vigas * 3,50 m * 2 pergolados</t>
  </si>
  <si>
    <t>2 vigas * 2,40 m * 2 pergolados</t>
  </si>
  <si>
    <t>(2,50 * 0,80 * 8) + (0,52 * 2,40 * 2 * 2 ) + (0,44*3,50*13*2)</t>
  </si>
  <si>
    <t>Poste de jardim com luminária</t>
  </si>
  <si>
    <t>COTAÇÃO</t>
  </si>
  <si>
    <t>EQUIPAMENTOS</t>
  </si>
  <si>
    <t>Banco em concreto pré‐moldado, comprimento 150 cm</t>
  </si>
  <si>
    <t>35.04.120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</si>
  <si>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</si>
  <si>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</si>
  <si>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</si>
  <si>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</si>
  <si>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</si>
  <si>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</si>
  <si>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</si>
  <si>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</si>
  <si>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</si>
  <si>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ROTAÇÃO DIAGONAL DUPLA, APARELHO TRIPLO, EM TUBO DE AÇO CARBONO - EQUIPAMENTO DE GINÁSTICA PARA ACADEMIA AO AR LIVRE / ACADEMIA DA TERCEIRA IDADE - ATI, INSTALADO SOBRE SOLO. AF_10/2021</t>
  </si>
  <si>
    <t xml:space="preserve">INSTALAÇÃO DE ROTAÇÃO VERTICAL DUPLO, EM TUBO DE AÇO CARBONO - EQUIPAMENTO DE GINÁSTICA PARA ACADEMIA AO AR LIVRE / ACADEMIA DA TERCEIRA IDADE - ATI, INSTALADO SOBRE SOLO. AF_10/2021
</t>
  </si>
  <si>
    <t>INSTALAÇÃO DE SURF DUPLO, EM TUBO DE AÇO CARBONO - EQUIPAMENTO DE GINÁSTICA PARA ACADEMIA AO AR LIVRE / ACADEMIA DA TERCEIRA IDADE - ATI, INSTALADO SOBRE SOLO. AF_10/2021</t>
  </si>
  <si>
    <t>INSTALAÇÃO DE ALONGADOR COM TRÊS ALTURAS, EM TUBO DE AÇO CARBONO - EQUIPAMENTO DE GINASTICA PARA ACADEMIA AO AR LIVRE / ACADEMIA DA TERCEIRA IDADE - ATI, INSTALADO SOBRE SOLO. AF_10/2021</t>
  </si>
  <si>
    <t>INSTALAÇÃO DE PRESSÃO DE PERNAS TRIPLO, EM TUBO DE AÇO CARBONO - EQUIPAMENTO DE GINÁSTICA PARA ACADEMIA AO AR LIVRE / ACADEMIA DA TERCEIRA IDADE - ATI, INSTALADO SOBRE SOLO. AF_10/2021</t>
  </si>
  <si>
    <t>INSTALAÇÃO DE SIMULADOR DE CAMINHADA TRIPLO, EM TUBO DE AÇO CARBONO -EQUIPAMENTO DE GINÁSTICA PARA ACADEMIA AO AR LIVRE / ACADEMIA DA TERCEIRA IDADE - ATI, INSTALADO SOBRE PISO DE CONCRETO EXISTENTE. AF_10/2021</t>
  </si>
  <si>
    <t>6.11</t>
  </si>
  <si>
    <t>6.12</t>
  </si>
  <si>
    <t>PAISAGISMO</t>
  </si>
  <si>
    <t>Plantio de grama esmeralda em placas (jardins e canteiros)</t>
  </si>
  <si>
    <t>34.02.100</t>
  </si>
  <si>
    <t>4.3.6</t>
  </si>
  <si>
    <t>piso interno quiosque</t>
  </si>
  <si>
    <t>área piso concreto e piso mosaico portugues: 1573,33 + 164,12 m2</t>
  </si>
  <si>
    <t>área piso concreto 1573,33 * 0,07</t>
  </si>
  <si>
    <t>GA-01 GUIA LEVE OU SEPARADOR DE PISOS</t>
  </si>
  <si>
    <t>16.02.027</t>
  </si>
  <si>
    <t>separação entre piso mosaico e grama</t>
  </si>
  <si>
    <t>06.11.040</t>
  </si>
  <si>
    <t>Reaterro manual apiloado sem controle de compactação</t>
  </si>
  <si>
    <t>39.03.170</t>
  </si>
  <si>
    <t>Cabo de cobre de 2,5 mm², isolamento 0,6/1 kV ‐ isolação em PVC 70°C</t>
  </si>
  <si>
    <t>39.03.174</t>
  </si>
  <si>
    <t>Cabo de cobre de 4 mm², isolamento 0,6/1 kV ‐ isolação em PVC 70°C.</t>
  </si>
  <si>
    <t>38.01.040</t>
  </si>
  <si>
    <t>Eletroduto de PVC rígido roscável de 3/4´ ‐ com acessórios</t>
  </si>
  <si>
    <t xml:space="preserve">ENTRADA DE ENERGIA ELÉTRICA, SUBTERRÂNEA, BIFÁSICA, COM CAIXA DE SOBREPOR, CABO DE 16 MM2 E DISJUNTOR DIN 50A </t>
  </si>
  <si>
    <t>5.6</t>
  </si>
  <si>
    <t>5.7</t>
  </si>
  <si>
    <t>5.8</t>
  </si>
  <si>
    <t>0,50*0,15*138</t>
  </si>
  <si>
    <t>0,15*0,15*138</t>
  </si>
  <si>
    <t>0,35*0,15*138</t>
  </si>
  <si>
    <t>ELÉTRICA</t>
  </si>
  <si>
    <t>41.31.070</t>
  </si>
  <si>
    <t>Luminária LED quadrada de sobrepor com difusor prismático translúcido, 4000 K, fluxo luminoso de 1363 a 1800 lm, potência de 15 W a 24 W</t>
  </si>
  <si>
    <t>4.5.1</t>
  </si>
  <si>
    <t>4.1.7</t>
  </si>
  <si>
    <t>Lançamento e adensamento de concreto ou massa em estrutura</t>
  </si>
  <si>
    <t>11.16.060</t>
  </si>
  <si>
    <t>4.2.4</t>
  </si>
  <si>
    <t>5.9</t>
  </si>
  <si>
    <t>01.20.811</t>
  </si>
  <si>
    <t>Levantamento planialmétrico cadastral com áreas até 50% de ocupação ‐ área até 20.000 m² (mínimo de 4.000 m²)</t>
  </si>
  <si>
    <t>3.8</t>
  </si>
  <si>
    <t>Tietê, 20 de outubro de 2022.</t>
  </si>
  <si>
    <t>TOTAL</t>
  </si>
  <si>
    <t>INSTALAÇÃO DE SIMULADOR DE CAVALGADA TRIPLO, EM TUBO DE AÇO CARBONO -EQUIPAMENTO DE GINÁSTICA PARA ACADEMIA AO AR LIVRE / ACADEMIA DA TERCE
 IRA IDADE - ATI, INSTALADO SOBRE PISO DE CONCRETO EXISTENTE. AF_10/2021</t>
  </si>
  <si>
    <t>INSTALAÇÃO DE PLACA ORIENTATIVA SOBRE EXERCÍCIOS, 2,00M X 1,00M, EM TUBO DE AÇO CARBONO - PARA ACADEMIA AO AR LIVRE / ACADEMIA DA TERCEIRA I
 DADE - ATI, INSTALADO SOBRE SOLO. AF_10/2021</t>
  </si>
  <si>
    <t>PLAYGROUND</t>
  </si>
  <si>
    <t>ACADEMIA AO AR LIVRE</t>
  </si>
  <si>
    <t>2.5</t>
  </si>
  <si>
    <t>2.6</t>
  </si>
  <si>
    <t>2.7</t>
  </si>
  <si>
    <t>2.8</t>
  </si>
  <si>
    <t>2.9</t>
  </si>
  <si>
    <t>Tietê, 10 de janeiro de 2023.</t>
  </si>
  <si>
    <t>CDHU VERSÃO 188 NÃO DESONERADO</t>
  </si>
  <si>
    <t>OBRA:</t>
  </si>
  <si>
    <t>LOCAL:</t>
  </si>
  <si>
    <t>REVITALIZAÇÃO DE GINÁSIO POLIESPORTIVO - FORNECIMENTO E INSTALAÇÃO DE EQUIPAMENTOS</t>
  </si>
  <si>
    <t>SINAPI OUT/2022 NÃO DESONERADO</t>
  </si>
  <si>
    <t>BDI :</t>
  </si>
  <si>
    <t>RUA XV DE NOVEMBRO - JD. BANDEIRANTES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</si>
</sst>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20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vertical="center"/>
    </xf>
    <xf numFmtId="164" fontId="10" fillId="3" borderId="1" xfId="20" applyFont="1" applyFill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0" fillId="0" borderId="0" xfId="0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20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Border="1" applyAlignment="1">
      <alignment vertical="center"/>
    </xf>
    <xf numFmtId="164" fontId="10" fillId="3" borderId="2" xfId="20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0" fontId="13" fillId="0" borderId="5" xfId="0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2" borderId="3" xfId="0" applyNumberForma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65" fontId="14" fillId="2" borderId="7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Fill="1" applyBorder="1" applyAlignment="1" applyProtection="1">
      <alignment horizontal="left" vertical="center" wrapText="1"/>
      <protection locked="0"/>
    </xf>
    <xf numFmtId="16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12" fillId="2" borderId="1" xfId="0" applyNumberFormat="1" applyFont="1" applyFill="1" applyBorder="1"/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20" applyFont="1" applyFill="1" applyBorder="1" applyAlignment="1" applyProtection="1">
      <alignment horizontal="left" vertical="center" wrapText="1"/>
      <protection locked="0"/>
    </xf>
    <xf numFmtId="164" fontId="12" fillId="2" borderId="3" xfId="0" applyNumberFormat="1" applyFont="1" applyFill="1" applyBorder="1" applyAlignment="1">
      <alignment vertical="center"/>
    </xf>
    <xf numFmtId="164" fontId="11" fillId="2" borderId="7" xfId="20" applyFont="1" applyFill="1" applyBorder="1" applyAlignment="1" applyProtection="1">
      <alignment horizontal="righ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3" fillId="3" borderId="0" xfId="0" applyFont="1" applyFill="1" applyAlignment="1" applyProtection="1">
      <alignment horizontal="center" vertical="center"/>
      <protection/>
    </xf>
    <xf numFmtId="49" fontId="6" fillId="3" borderId="0" xfId="0" applyNumberFormat="1" applyFont="1" applyFill="1" applyAlignment="1" applyProtection="1">
      <alignment horizontal="center" vertical="center"/>
      <protection/>
    </xf>
    <xf numFmtId="10" fontId="7" fillId="3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3" borderId="0" xfId="0" applyFont="1" applyFill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horizontal="right" vertical="center"/>
      <protection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4" fontId="2" fillId="2" borderId="7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49" fontId="7" fillId="3" borderId="0" xfId="0" applyNumberFormat="1" applyFont="1" applyFill="1" applyAlignment="1" applyProtection="1">
      <alignment horizontal="center" vertical="center"/>
      <protection/>
    </xf>
    <xf numFmtId="17" fontId="3" fillId="2" borderId="6" xfId="0" applyNumberFormat="1" applyFont="1" applyFill="1" applyBorder="1" applyAlignment="1" applyProtection="1">
      <alignment horizontal="left" vertical="center"/>
      <protection/>
    </xf>
    <xf numFmtId="17" fontId="3" fillId="2" borderId="10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10" fontId="3" fillId="3" borderId="5" xfId="0" applyNumberFormat="1" applyFont="1" applyFill="1" applyBorder="1" applyAlignment="1" applyProtection="1">
      <alignment horizontal="center" vertical="center"/>
      <protection/>
    </xf>
    <xf numFmtId="17" fontId="3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 horizontal="center" vertical="center"/>
    </xf>
    <xf numFmtId="4" fontId="3" fillId="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/>
    <xf numFmtId="0" fontId="0" fillId="2" borderId="2" xfId="0" applyFill="1" applyBorder="1" applyAlignment="1">
      <alignment wrapText="1"/>
    </xf>
    <xf numFmtId="2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0" applyFont="1" applyFill="1" applyBorder="1" applyAlignment="1" applyProtection="1">
      <alignment horizontal="left" vertical="center" wrapText="1"/>
      <protection locked="0"/>
    </xf>
    <xf numFmtId="164" fontId="11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/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Border="1"/>
    <xf numFmtId="0" fontId="12" fillId="2" borderId="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left" vertical="center"/>
    </xf>
    <xf numFmtId="0" fontId="12" fillId="0" borderId="0" xfId="0" applyFont="1"/>
    <xf numFmtId="1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/>
    </xf>
    <xf numFmtId="4" fontId="4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14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90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47625</xdr:colOff>
      <xdr:row>0</xdr:row>
      <xdr:rowOff>152400</xdr:rowOff>
    </xdr:from>
    <xdr:to>
      <xdr:col>13</xdr:col>
      <xdr:colOff>561975</xdr:colOff>
      <xdr:row>7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9077325" cy="15049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90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90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90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619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9</xdr:col>
      <xdr:colOff>152400</xdr:colOff>
      <xdr:row>16</xdr:row>
      <xdr:rowOff>85725</xdr:rowOff>
    </xdr:from>
    <xdr:to>
      <xdr:col>9</xdr:col>
      <xdr:colOff>904875</xdr:colOff>
      <xdr:row>16</xdr:row>
      <xdr:rowOff>85725</xdr:rowOff>
    </xdr:to>
    <xdr:cxnSp macro="">
      <xdr:nvCxnSpPr>
        <xdr:cNvPr id="8" name="Conector reto 7"/>
        <xdr:cNvCxnSpPr/>
      </xdr:nvCxnSpPr>
      <xdr:spPr>
        <a:xfrm>
          <a:off x="4676775" y="3676650"/>
          <a:ext cx="7524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23</xdr:row>
      <xdr:rowOff>85725</xdr:rowOff>
    </xdr:from>
    <xdr:to>
      <xdr:col>11</xdr:col>
      <xdr:colOff>923925</xdr:colOff>
      <xdr:row>23</xdr:row>
      <xdr:rowOff>95250</xdr:rowOff>
    </xdr:to>
    <xdr:cxnSp macro="">
      <xdr:nvCxnSpPr>
        <xdr:cNvPr id="10" name="Conector reto 9"/>
        <xdr:cNvCxnSpPr/>
      </xdr:nvCxnSpPr>
      <xdr:spPr>
        <a:xfrm>
          <a:off x="4676775" y="4010025"/>
          <a:ext cx="27908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28</xdr:row>
      <xdr:rowOff>104775</xdr:rowOff>
    </xdr:from>
    <xdr:to>
      <xdr:col>11</xdr:col>
      <xdr:colOff>895350</xdr:colOff>
      <xdr:row>28</xdr:row>
      <xdr:rowOff>104775</xdr:rowOff>
    </xdr:to>
    <xdr:cxnSp macro="">
      <xdr:nvCxnSpPr>
        <xdr:cNvPr id="13" name="Conector reto 12"/>
        <xdr:cNvCxnSpPr/>
      </xdr:nvCxnSpPr>
      <xdr:spPr>
        <a:xfrm>
          <a:off x="6696075" y="440055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65</xdr:row>
      <xdr:rowOff>104775</xdr:rowOff>
    </xdr:from>
    <xdr:to>
      <xdr:col>12</xdr:col>
      <xdr:colOff>885825</xdr:colOff>
      <xdr:row>65</xdr:row>
      <xdr:rowOff>104775</xdr:rowOff>
    </xdr:to>
    <xdr:cxnSp macro="">
      <xdr:nvCxnSpPr>
        <xdr:cNvPr id="14" name="Conector reto 13"/>
        <xdr:cNvCxnSpPr/>
      </xdr:nvCxnSpPr>
      <xdr:spPr>
        <a:xfrm>
          <a:off x="5705475" y="5143500"/>
          <a:ext cx="27527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37</xdr:row>
      <xdr:rowOff>85725</xdr:rowOff>
    </xdr:from>
    <xdr:to>
      <xdr:col>12</xdr:col>
      <xdr:colOff>857250</xdr:colOff>
      <xdr:row>37</xdr:row>
      <xdr:rowOff>95250</xdr:rowOff>
    </xdr:to>
    <xdr:cxnSp macro="">
      <xdr:nvCxnSpPr>
        <xdr:cNvPr id="17" name="Conector reto 16"/>
        <xdr:cNvCxnSpPr/>
      </xdr:nvCxnSpPr>
      <xdr:spPr>
        <a:xfrm>
          <a:off x="6638925" y="4752975"/>
          <a:ext cx="17907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75</xdr:row>
      <xdr:rowOff>104775</xdr:rowOff>
    </xdr:from>
    <xdr:to>
      <xdr:col>13</xdr:col>
      <xdr:colOff>885825</xdr:colOff>
      <xdr:row>75</xdr:row>
      <xdr:rowOff>104775</xdr:rowOff>
    </xdr:to>
    <xdr:cxnSp macro="">
      <xdr:nvCxnSpPr>
        <xdr:cNvPr id="18" name="Conector reto 17"/>
        <xdr:cNvCxnSpPr/>
      </xdr:nvCxnSpPr>
      <xdr:spPr>
        <a:xfrm>
          <a:off x="8705850" y="548640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88</xdr:row>
      <xdr:rowOff>123825</xdr:rowOff>
    </xdr:from>
    <xdr:to>
      <xdr:col>13</xdr:col>
      <xdr:colOff>885825</xdr:colOff>
      <xdr:row>88</xdr:row>
      <xdr:rowOff>123825</xdr:rowOff>
    </xdr:to>
    <xdr:cxnSp macro="">
      <xdr:nvCxnSpPr>
        <xdr:cNvPr id="19" name="Conector reto 18"/>
        <xdr:cNvCxnSpPr/>
      </xdr:nvCxnSpPr>
      <xdr:spPr>
        <a:xfrm>
          <a:off x="8705850" y="590550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8</xdr:col>
      <xdr:colOff>981075</xdr:colOff>
      <xdr:row>7</xdr:row>
      <xdr:rowOff>276225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9763125" cy="1609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6-%20CONV&#202;NIOS\TABELAS%20DE%20PRE&#199;O\CPOS\CPOS%20181\COM%20DESONERA&#199;&#195;O\servicoscd_18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.claudio\Desktop\PRA&#199;AS\PLANILHA%20RESUMO%20PRA&#199;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A669" t="str">
            <v>12.01.021</v>
          </cell>
          <cell r="B669" t="str">
            <v>Broca em concreto armado diâmetro de 20 cm - 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quadro resumo orçamentos"/>
    </sheetNames>
    <sheetDataSet>
      <sheetData sheetId="0" refreshError="1"/>
      <sheetData sheetId="1">
        <row r="7">
          <cell r="D7">
            <v>1366.743333333333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99"/>
  <sheetViews>
    <sheetView showGridLines="0" zoomScale="110" zoomScaleNormal="110" workbookViewId="0" topLeftCell="A1">
      <selection activeCell="O8" sqref="O8"/>
    </sheetView>
  </sheetViews>
  <sheetFormatPr defaultColWidth="9.140625" defaultRowHeight="15"/>
  <cols>
    <col min="1" max="1" width="7.00390625" style="17" customWidth="1"/>
    <col min="2" max="3" width="10.8515625" style="133" hidden="1" customWidth="1"/>
    <col min="4" max="4" width="44.421875" style="17" customWidth="1"/>
    <col min="5" max="5" width="9.140625" style="17" hidden="1" customWidth="1"/>
    <col min="6" max="6" width="9.140625" style="133" hidden="1" customWidth="1"/>
    <col min="7" max="7" width="14.57421875" style="17" hidden="1" customWidth="1"/>
    <col min="8" max="8" width="14.8515625" style="17" hidden="1" customWidth="1"/>
    <col min="9" max="9" width="16.421875" style="17" customWidth="1"/>
    <col min="10" max="10" width="15.00390625" style="0" customWidth="1"/>
    <col min="11" max="11" width="15.28125" style="0" customWidth="1"/>
    <col min="12" max="12" width="15.421875" style="0" customWidth="1"/>
    <col min="13" max="13" width="14.8515625" style="0" customWidth="1"/>
    <col min="14" max="14" width="14.57421875" style="0" customWidth="1"/>
  </cols>
  <sheetData>
    <row r="1" ht="15"/>
    <row r="2" ht="15"/>
    <row r="3" ht="15"/>
    <row r="4" ht="15"/>
    <row r="5" spans="1:10" ht="27" customHeight="1">
      <c r="A5" s="99"/>
      <c r="B5" s="86"/>
      <c r="C5" s="86"/>
      <c r="D5" s="100"/>
      <c r="E5" s="101"/>
      <c r="F5" s="86"/>
      <c r="G5" s="161"/>
      <c r="H5" s="102"/>
      <c r="I5" s="103"/>
      <c r="J5" s="48"/>
    </row>
    <row r="6" spans="1:10" ht="15">
      <c r="A6" s="99"/>
      <c r="B6" s="86"/>
      <c r="C6" s="86"/>
      <c r="D6" s="100"/>
      <c r="E6" s="101"/>
      <c r="F6" s="86"/>
      <c r="G6" s="161"/>
      <c r="H6" s="102"/>
      <c r="I6" s="104"/>
      <c r="J6" s="49"/>
    </row>
    <row r="7" spans="1:10" ht="15">
      <c r="A7" s="99"/>
      <c r="B7" s="86"/>
      <c r="C7" s="86"/>
      <c r="D7" s="100"/>
      <c r="E7" s="101"/>
      <c r="F7" s="86"/>
      <c r="G7" s="161"/>
      <c r="H7" s="105"/>
      <c r="I7" s="106"/>
      <c r="J7" s="50"/>
    </row>
    <row r="8" spans="1:10" s="124" customFormat="1" ht="41.25" customHeight="1">
      <c r="A8" s="162" t="s">
        <v>113</v>
      </c>
      <c r="B8" s="162"/>
      <c r="C8" s="162"/>
      <c r="D8" s="162"/>
      <c r="E8" s="162"/>
      <c r="F8" s="162"/>
      <c r="G8" s="162"/>
      <c r="H8" s="162"/>
      <c r="I8" s="162"/>
      <c r="J8" s="123"/>
    </row>
    <row r="9" spans="1:10" ht="15.75">
      <c r="A9" s="107" t="s">
        <v>119</v>
      </c>
      <c r="B9" s="87"/>
      <c r="C9" s="87"/>
      <c r="D9" s="108"/>
      <c r="E9" s="109"/>
      <c r="F9" s="87"/>
      <c r="G9" s="163" t="s">
        <v>56</v>
      </c>
      <c r="H9" s="110" t="s">
        <v>52</v>
      </c>
      <c r="I9" s="103"/>
      <c r="J9" s="28"/>
    </row>
    <row r="10" spans="1:10" ht="15">
      <c r="A10" s="112" t="s">
        <v>120</v>
      </c>
      <c r="B10" s="88"/>
      <c r="C10" s="86"/>
      <c r="D10" s="113"/>
      <c r="E10" s="113"/>
      <c r="F10" s="114"/>
      <c r="G10" s="163"/>
      <c r="H10" s="115" t="s">
        <v>53</v>
      </c>
      <c r="I10" s="103"/>
      <c r="J10" s="28"/>
    </row>
    <row r="11" spans="1:10" ht="15">
      <c r="A11" s="108"/>
      <c r="B11" s="88"/>
      <c r="C11" s="86"/>
      <c r="D11" s="113"/>
      <c r="E11" s="113"/>
      <c r="F11" s="114"/>
      <c r="G11" s="163"/>
      <c r="H11" s="115" t="s">
        <v>54</v>
      </c>
      <c r="I11" s="103"/>
      <c r="J11" s="28"/>
    </row>
    <row r="12" spans="1:10" ht="15">
      <c r="A12" s="101"/>
      <c r="B12" s="89"/>
      <c r="C12" s="89"/>
      <c r="D12" s="113"/>
      <c r="E12" s="113"/>
      <c r="F12" s="114"/>
      <c r="G12" s="163"/>
      <c r="H12" s="116" t="s">
        <v>55</v>
      </c>
      <c r="I12" s="103"/>
      <c r="J12" s="28"/>
    </row>
    <row r="13" spans="1:10" ht="15">
      <c r="A13" s="101"/>
      <c r="B13" s="86"/>
      <c r="C13" s="86"/>
      <c r="D13" s="101"/>
      <c r="E13" s="101"/>
      <c r="F13" s="117"/>
      <c r="G13" s="118" t="s">
        <v>1</v>
      </c>
      <c r="H13" s="136">
        <v>0.2247</v>
      </c>
      <c r="I13" s="137"/>
      <c r="J13" s="29"/>
    </row>
    <row r="14" spans="1:10" ht="15">
      <c r="A14" s="101"/>
      <c r="B14" s="86"/>
      <c r="C14" s="86"/>
      <c r="D14" s="101"/>
      <c r="E14" s="101"/>
      <c r="F14" s="117"/>
      <c r="G14" s="118" t="s">
        <v>0</v>
      </c>
      <c r="H14" s="120">
        <v>44743</v>
      </c>
      <c r="I14" s="101"/>
      <c r="J14" s="29"/>
    </row>
    <row r="15" ht="3.75" customHeight="1"/>
    <row r="16" spans="1:14" ht="30" customHeight="1">
      <c r="A16" s="90" t="s">
        <v>2</v>
      </c>
      <c r="B16" s="90" t="s">
        <v>3</v>
      </c>
      <c r="C16" s="90" t="s">
        <v>83</v>
      </c>
      <c r="D16" s="90" t="s">
        <v>4</v>
      </c>
      <c r="E16" s="90" t="s">
        <v>5</v>
      </c>
      <c r="F16" s="90" t="s">
        <v>6</v>
      </c>
      <c r="G16" s="90" t="s">
        <v>7</v>
      </c>
      <c r="H16" s="90" t="s">
        <v>8</v>
      </c>
      <c r="I16" s="90" t="s">
        <v>9</v>
      </c>
      <c r="J16" s="134" t="s">
        <v>114</v>
      </c>
      <c r="K16" s="134" t="s">
        <v>115</v>
      </c>
      <c r="L16" s="134" t="s">
        <v>116</v>
      </c>
      <c r="M16" s="134" t="s">
        <v>117</v>
      </c>
      <c r="N16" s="134" t="s">
        <v>118</v>
      </c>
    </row>
    <row r="17" spans="1:14" ht="26.25" customHeight="1">
      <c r="A17" s="138" t="s">
        <v>91</v>
      </c>
      <c r="B17" s="139"/>
      <c r="C17" s="139"/>
      <c r="D17" s="142" t="s">
        <v>121</v>
      </c>
      <c r="E17" s="143"/>
      <c r="F17" s="144"/>
      <c r="G17" s="145"/>
      <c r="H17" s="145"/>
      <c r="I17" s="146">
        <f>SUM(I18:I23)</f>
        <v>27189.090741100004</v>
      </c>
      <c r="J17" s="154">
        <f>I17</f>
        <v>27189.090741100004</v>
      </c>
      <c r="K17" s="1"/>
      <c r="L17" s="1"/>
      <c r="M17" s="1"/>
      <c r="N17" s="1"/>
    </row>
    <row r="18" spans="1:14" ht="45" hidden="1">
      <c r="A18" s="6" t="s">
        <v>92</v>
      </c>
      <c r="B18" s="19" t="s">
        <v>250</v>
      </c>
      <c r="C18" s="19" t="s">
        <v>10</v>
      </c>
      <c r="D18" s="58" t="s">
        <v>251</v>
      </c>
      <c r="E18" s="54" t="s">
        <v>19</v>
      </c>
      <c r="F18" s="55">
        <v>4960.1</v>
      </c>
      <c r="G18" s="56">
        <v>0.9</v>
      </c>
      <c r="H18" s="91">
        <f>H13*G18+G18</f>
        <v>1.10223</v>
      </c>
      <c r="I18" s="57">
        <f aca="true" t="shared" si="0" ref="I18:I19">H18*F18</f>
        <v>5467.171023000001</v>
      </c>
      <c r="J18" s="1"/>
      <c r="K18" s="1"/>
      <c r="L18" s="1"/>
      <c r="M18" s="1"/>
      <c r="N18" s="1"/>
    </row>
    <row r="19" spans="1:14" ht="45" hidden="1">
      <c r="A19" s="6" t="s">
        <v>93</v>
      </c>
      <c r="B19" s="19" t="s">
        <v>123</v>
      </c>
      <c r="C19" s="9" t="s">
        <v>10</v>
      </c>
      <c r="D19" s="58" t="s">
        <v>122</v>
      </c>
      <c r="E19" s="54" t="s">
        <v>124</v>
      </c>
      <c r="F19" s="55">
        <v>1</v>
      </c>
      <c r="G19" s="56">
        <v>1166.77</v>
      </c>
      <c r="H19" s="56">
        <f>H13*G19+G19</f>
        <v>1428.943219</v>
      </c>
      <c r="I19" s="57">
        <f t="shared" si="0"/>
        <v>1428.943219</v>
      </c>
      <c r="J19" s="1"/>
      <c r="K19" s="1"/>
      <c r="L19" s="1"/>
      <c r="M19" s="1"/>
      <c r="N19" s="1"/>
    </row>
    <row r="20" spans="1:14" ht="15" hidden="1">
      <c r="A20" s="53" t="s">
        <v>94</v>
      </c>
      <c r="B20" s="19" t="s">
        <v>126</v>
      </c>
      <c r="C20" s="54" t="s">
        <v>10</v>
      </c>
      <c r="D20" s="147" t="s">
        <v>125</v>
      </c>
      <c r="E20" s="54" t="s">
        <v>12</v>
      </c>
      <c r="F20" s="55">
        <v>1</v>
      </c>
      <c r="G20" s="56">
        <v>3128.84</v>
      </c>
      <c r="H20" s="56">
        <f>H13*G20+G20</f>
        <v>3831.8903480000004</v>
      </c>
      <c r="I20" s="57">
        <f>H20*F20</f>
        <v>3831.8903480000004</v>
      </c>
      <c r="J20" s="1"/>
      <c r="K20" s="1"/>
      <c r="L20" s="1"/>
      <c r="M20" s="1"/>
      <c r="N20" s="1"/>
    </row>
    <row r="21" spans="1:14" ht="15" hidden="1">
      <c r="A21" s="6" t="s">
        <v>95</v>
      </c>
      <c r="B21" s="19" t="s">
        <v>128</v>
      </c>
      <c r="C21" s="19" t="s">
        <v>10</v>
      </c>
      <c r="D21" s="147" t="s">
        <v>127</v>
      </c>
      <c r="E21" s="54" t="s">
        <v>19</v>
      </c>
      <c r="F21" s="55">
        <f>MEMÓRIA!D6</f>
        <v>3</v>
      </c>
      <c r="G21" s="56">
        <v>860.2</v>
      </c>
      <c r="H21" s="91">
        <f>H13*G21+G21</f>
        <v>1053.48694</v>
      </c>
      <c r="I21" s="57">
        <f aca="true" t="shared" si="1" ref="I21">H21*F21</f>
        <v>3160.4608200000002</v>
      </c>
      <c r="J21" s="1"/>
      <c r="K21" s="1"/>
      <c r="L21" s="1"/>
      <c r="M21" s="1"/>
      <c r="N21" s="1"/>
    </row>
    <row r="22" spans="1:14" ht="45" hidden="1">
      <c r="A22" s="53" t="s">
        <v>96</v>
      </c>
      <c r="B22" s="19" t="s">
        <v>130</v>
      </c>
      <c r="C22" s="54" t="s">
        <v>10</v>
      </c>
      <c r="D22" s="58" t="s">
        <v>129</v>
      </c>
      <c r="E22" s="54" t="s">
        <v>20</v>
      </c>
      <c r="F22" s="55">
        <f>MEMÓRIA!D7</f>
        <v>496</v>
      </c>
      <c r="G22" s="56">
        <v>19.78</v>
      </c>
      <c r="H22" s="56">
        <f>H13*G22+G22</f>
        <v>24.224566000000003</v>
      </c>
      <c r="I22" s="57">
        <f>H22*F22</f>
        <v>12015.384736000002</v>
      </c>
      <c r="J22" s="1"/>
      <c r="K22" s="1"/>
      <c r="L22" s="1"/>
      <c r="M22" s="1"/>
      <c r="N22" s="1"/>
    </row>
    <row r="23" spans="1:14" ht="15" hidden="1">
      <c r="A23" s="53" t="s">
        <v>97</v>
      </c>
      <c r="B23" s="19" t="s">
        <v>22</v>
      </c>
      <c r="C23" s="19" t="s">
        <v>10</v>
      </c>
      <c r="D23" s="34" t="s">
        <v>21</v>
      </c>
      <c r="E23" s="54" t="s">
        <v>20</v>
      </c>
      <c r="F23" s="55">
        <f>MEMÓRIA!D8</f>
        <v>4.9</v>
      </c>
      <c r="G23" s="56">
        <v>214.17</v>
      </c>
      <c r="H23" s="91">
        <f>G23*H13+G23</f>
        <v>262.293999</v>
      </c>
      <c r="I23" s="57">
        <f aca="true" t="shared" si="2" ref="I23">H23*F23</f>
        <v>1285.2405951</v>
      </c>
      <c r="J23" s="1"/>
      <c r="K23" s="1"/>
      <c r="L23" s="1"/>
      <c r="M23" s="1"/>
      <c r="N23" s="1"/>
    </row>
    <row r="24" spans="1:14" ht="29.25" customHeight="1">
      <c r="A24" s="138" t="s">
        <v>76</v>
      </c>
      <c r="B24" s="134"/>
      <c r="C24" s="134"/>
      <c r="D24" s="148" t="s">
        <v>25</v>
      </c>
      <c r="E24" s="143"/>
      <c r="F24" s="144"/>
      <c r="G24" s="145"/>
      <c r="H24" s="149"/>
      <c r="I24" s="146">
        <f>SUM(I25:I28)</f>
        <v>133660.46335482493</v>
      </c>
      <c r="J24" s="154">
        <f>I24/3</f>
        <v>44553.487784941644</v>
      </c>
      <c r="K24" s="154">
        <f>I24/3</f>
        <v>44553.487784941644</v>
      </c>
      <c r="L24" s="154">
        <f>I24/3</f>
        <v>44553.487784941644</v>
      </c>
      <c r="M24" s="1"/>
      <c r="N24" s="1"/>
    </row>
    <row r="25" spans="1:14" ht="30" hidden="1">
      <c r="A25" s="53" t="s">
        <v>15</v>
      </c>
      <c r="B25" s="19" t="s">
        <v>136</v>
      </c>
      <c r="C25" s="9" t="s">
        <v>10</v>
      </c>
      <c r="D25" s="150" t="s">
        <v>135</v>
      </c>
      <c r="E25" s="31" t="s">
        <v>19</v>
      </c>
      <c r="F25" s="151">
        <f>MEMÓRIA!D10</f>
        <v>1737.4499999999998</v>
      </c>
      <c r="G25" s="152">
        <v>3.82</v>
      </c>
      <c r="H25" s="152">
        <f>H13*G25+G25</f>
        <v>4.678354</v>
      </c>
      <c r="I25" s="152">
        <f aca="true" t="shared" si="3" ref="I25:I27">H25*F25</f>
        <v>8128.406157299999</v>
      </c>
      <c r="J25" s="1"/>
      <c r="K25" s="1"/>
      <c r="L25" s="1"/>
      <c r="M25" s="1"/>
      <c r="N25" s="1"/>
    </row>
    <row r="26" spans="1:14" ht="45" hidden="1">
      <c r="A26" s="53" t="s">
        <v>16</v>
      </c>
      <c r="B26" s="19">
        <v>94991</v>
      </c>
      <c r="C26" s="9" t="s">
        <v>138</v>
      </c>
      <c r="D26" s="150" t="s">
        <v>137</v>
      </c>
      <c r="E26" s="31" t="s">
        <v>20</v>
      </c>
      <c r="F26" s="151">
        <f>MEMÓRIA!D11</f>
        <v>110.1331</v>
      </c>
      <c r="G26" s="152">
        <v>642.15</v>
      </c>
      <c r="H26" s="152">
        <f>H13*G26+G26</f>
        <v>786.441105</v>
      </c>
      <c r="I26" s="152">
        <f t="shared" si="3"/>
        <v>86613.1968610755</v>
      </c>
      <c r="J26" s="1"/>
      <c r="K26" s="1"/>
      <c r="L26" s="1"/>
      <c r="M26" s="1"/>
      <c r="N26" s="1"/>
    </row>
    <row r="27" spans="1:14" ht="45" hidden="1">
      <c r="A27" s="53" t="s">
        <v>17</v>
      </c>
      <c r="B27" s="19">
        <v>101090</v>
      </c>
      <c r="C27" s="9" t="s">
        <v>138</v>
      </c>
      <c r="D27" s="58" t="s">
        <v>172</v>
      </c>
      <c r="E27" s="31" t="s">
        <v>19</v>
      </c>
      <c r="F27" s="151">
        <f>MEMÓRIA!D12</f>
        <v>164.12</v>
      </c>
      <c r="G27" s="97">
        <v>182.74</v>
      </c>
      <c r="H27" s="97">
        <f>H13*G27+G27</f>
        <v>223.801678</v>
      </c>
      <c r="I27" s="97">
        <f t="shared" si="3"/>
        <v>36730.33139336</v>
      </c>
      <c r="J27" s="1"/>
      <c r="K27" s="1"/>
      <c r="L27" s="1"/>
      <c r="M27" s="1"/>
      <c r="N27" s="1"/>
    </row>
    <row r="28" spans="1:14" ht="15.75" customHeight="1" hidden="1">
      <c r="A28" s="53" t="s">
        <v>18</v>
      </c>
      <c r="B28" s="4" t="s">
        <v>224</v>
      </c>
      <c r="C28" s="9" t="s">
        <v>26</v>
      </c>
      <c r="D28" s="147" t="s">
        <v>223</v>
      </c>
      <c r="E28" s="31" t="s">
        <v>11</v>
      </c>
      <c r="F28" s="151">
        <f>MEMÓRIA!D13</f>
        <v>56</v>
      </c>
      <c r="G28" s="97">
        <f>39.25/1.23</f>
        <v>31.910569105691057</v>
      </c>
      <c r="H28" s="97">
        <f>G28*H13+G28</f>
        <v>39.080873983739835</v>
      </c>
      <c r="I28" s="97">
        <f>H28*F28</f>
        <v>2188.528943089431</v>
      </c>
      <c r="J28" s="1"/>
      <c r="K28" s="1"/>
      <c r="L28" s="1"/>
      <c r="M28" s="1"/>
      <c r="N28" s="1"/>
    </row>
    <row r="29" spans="1:14" ht="29.25" customHeight="1">
      <c r="A29" s="138" t="s">
        <v>23</v>
      </c>
      <c r="B29" s="134"/>
      <c r="C29" s="134"/>
      <c r="D29" s="148" t="s">
        <v>189</v>
      </c>
      <c r="E29" s="143"/>
      <c r="F29" s="144"/>
      <c r="G29" s="145"/>
      <c r="H29" s="149"/>
      <c r="I29" s="146">
        <f>SUM(I30:I37)</f>
        <v>18011.59382692</v>
      </c>
      <c r="J29" s="1"/>
      <c r="K29" s="1"/>
      <c r="L29" s="154">
        <f>I29</f>
        <v>18011.59382692</v>
      </c>
      <c r="M29" s="1"/>
      <c r="N29" s="1"/>
    </row>
    <row r="30" spans="1:14" ht="28.5" customHeight="1" hidden="1">
      <c r="A30" s="6" t="s">
        <v>24</v>
      </c>
      <c r="B30" s="19" t="s">
        <v>64</v>
      </c>
      <c r="C30" s="9" t="s">
        <v>10</v>
      </c>
      <c r="D30" s="40" t="s">
        <v>58</v>
      </c>
      <c r="E30" s="31" t="s">
        <v>20</v>
      </c>
      <c r="F30" s="132">
        <f>MEMÓRIA!D15</f>
        <v>2</v>
      </c>
      <c r="G30" s="91">
        <v>58.41</v>
      </c>
      <c r="H30" s="91">
        <f>G30*H13+G30</f>
        <v>71.534727</v>
      </c>
      <c r="I30" s="91">
        <f>H30*F30</f>
        <v>143.069454</v>
      </c>
      <c r="J30" s="1"/>
      <c r="K30" s="1"/>
      <c r="L30" s="1"/>
      <c r="M30" s="1"/>
      <c r="N30" s="1"/>
    </row>
    <row r="31" spans="1:14" ht="17.25" customHeight="1" hidden="1">
      <c r="A31" s="6" t="s">
        <v>27</v>
      </c>
      <c r="B31" s="31" t="s">
        <v>66</v>
      </c>
      <c r="C31" s="9" t="s">
        <v>10</v>
      </c>
      <c r="D31" s="33" t="s">
        <v>60</v>
      </c>
      <c r="E31" s="31" t="s">
        <v>20</v>
      </c>
      <c r="F31" s="132">
        <f>MEMÓRIA!D16</f>
        <v>2</v>
      </c>
      <c r="G31" s="91">
        <v>416.28</v>
      </c>
      <c r="H31" s="91">
        <f>G31*H13+G31</f>
        <v>509.818116</v>
      </c>
      <c r="I31" s="91">
        <f aca="true" t="shared" si="4" ref="I31:I37">H31*F31</f>
        <v>1019.636232</v>
      </c>
      <c r="J31" s="1"/>
      <c r="K31" s="1"/>
      <c r="L31" s="1"/>
      <c r="M31" s="1"/>
      <c r="N31" s="1"/>
    </row>
    <row r="32" spans="1:14" ht="17.25" customHeight="1" hidden="1">
      <c r="A32" s="6" t="s">
        <v>84</v>
      </c>
      <c r="B32" s="19" t="s">
        <v>67</v>
      </c>
      <c r="C32" s="9" t="s">
        <v>10</v>
      </c>
      <c r="D32" s="147" t="s">
        <v>61</v>
      </c>
      <c r="E32" s="31" t="s">
        <v>20</v>
      </c>
      <c r="F32" s="132">
        <f>F31</f>
        <v>2</v>
      </c>
      <c r="G32" s="91">
        <v>164.2</v>
      </c>
      <c r="H32" s="91">
        <f>G32*H13+G32</f>
        <v>201.09573999999998</v>
      </c>
      <c r="I32" s="91">
        <f t="shared" si="4"/>
        <v>402.19147999999996</v>
      </c>
      <c r="J32" s="1"/>
      <c r="K32" s="1"/>
      <c r="L32" s="1"/>
      <c r="M32" s="1"/>
      <c r="N32" s="1"/>
    </row>
    <row r="33" spans="1:14" ht="29.25" customHeight="1" hidden="1">
      <c r="A33" s="6" t="s">
        <v>181</v>
      </c>
      <c r="B33" s="19">
        <v>35276</v>
      </c>
      <c r="C33" s="96" t="s">
        <v>174</v>
      </c>
      <c r="D33" s="58" t="s">
        <v>173</v>
      </c>
      <c r="E33" s="54" t="s">
        <v>11</v>
      </c>
      <c r="F33" s="55">
        <f>MEMÓRIA!D17</f>
        <v>28</v>
      </c>
      <c r="G33" s="56">
        <v>205.64</v>
      </c>
      <c r="H33" s="91">
        <f>G33*H13+G33</f>
        <v>251.847308</v>
      </c>
      <c r="I33" s="57">
        <f t="shared" si="4"/>
        <v>7051.724624</v>
      </c>
      <c r="J33" s="1"/>
      <c r="K33" s="1"/>
      <c r="L33" s="1"/>
      <c r="M33" s="1"/>
      <c r="N33" s="1"/>
    </row>
    <row r="34" spans="1:14" ht="45" hidden="1">
      <c r="A34" s="6" t="s">
        <v>182</v>
      </c>
      <c r="B34" s="19">
        <v>35272</v>
      </c>
      <c r="C34" s="96" t="s">
        <v>174</v>
      </c>
      <c r="D34" s="58" t="s">
        <v>175</v>
      </c>
      <c r="E34" s="54" t="s">
        <v>11</v>
      </c>
      <c r="F34" s="55">
        <f>MEMÓRIA!D18</f>
        <v>9.6</v>
      </c>
      <c r="G34" s="56">
        <v>55.88</v>
      </c>
      <c r="H34" s="91">
        <f>H13*G34+G34</f>
        <v>68.43623600000001</v>
      </c>
      <c r="I34" s="57">
        <f t="shared" si="4"/>
        <v>656.9878656000001</v>
      </c>
      <c r="J34" s="1"/>
      <c r="K34" s="1"/>
      <c r="L34" s="1"/>
      <c r="M34" s="1"/>
      <c r="N34" s="1"/>
    </row>
    <row r="35" spans="1:14" ht="45" hidden="1">
      <c r="A35" s="6" t="s">
        <v>183</v>
      </c>
      <c r="B35" s="19">
        <v>4472</v>
      </c>
      <c r="C35" s="96" t="s">
        <v>174</v>
      </c>
      <c r="D35" s="58" t="s">
        <v>176</v>
      </c>
      <c r="E35" s="54" t="s">
        <v>11</v>
      </c>
      <c r="F35" s="55">
        <f>MEMÓRIA!D19</f>
        <v>91</v>
      </c>
      <c r="G35" s="56">
        <v>37.44</v>
      </c>
      <c r="H35" s="91">
        <f>H13*G35+G35</f>
        <v>45.852768</v>
      </c>
      <c r="I35" s="57">
        <f t="shared" si="4"/>
        <v>4172.601888</v>
      </c>
      <c r="J35" s="1"/>
      <c r="K35" s="1"/>
      <c r="L35" s="1"/>
      <c r="M35" s="1"/>
      <c r="N35" s="1"/>
    </row>
    <row r="36" spans="1:14" ht="30" hidden="1">
      <c r="A36" s="6" t="s">
        <v>184</v>
      </c>
      <c r="B36" s="19" t="s">
        <v>178</v>
      </c>
      <c r="C36" s="19" t="s">
        <v>10</v>
      </c>
      <c r="D36" s="58" t="s">
        <v>177</v>
      </c>
      <c r="E36" s="54" t="s">
        <v>11</v>
      </c>
      <c r="F36" s="55">
        <f>MEMÓRIA!D20</f>
        <v>128.6</v>
      </c>
      <c r="G36" s="56">
        <v>16.39</v>
      </c>
      <c r="H36" s="91">
        <f>G36*H13+G36</f>
        <v>20.072833000000003</v>
      </c>
      <c r="I36" s="57">
        <f t="shared" si="4"/>
        <v>2581.3663238000004</v>
      </c>
      <c r="J36" s="1"/>
      <c r="K36" s="1"/>
      <c r="L36" s="1"/>
      <c r="M36" s="1"/>
      <c r="N36" s="1"/>
    </row>
    <row r="37" spans="1:14" ht="15" hidden="1">
      <c r="A37" s="6" t="s">
        <v>252</v>
      </c>
      <c r="B37" s="1" t="s">
        <v>180</v>
      </c>
      <c r="C37" s="19" t="s">
        <v>10</v>
      </c>
      <c r="D37" s="147" t="s">
        <v>179</v>
      </c>
      <c r="E37" s="54" t="s">
        <v>11</v>
      </c>
      <c r="F37" s="55">
        <f>MEMÓRIA!D21</f>
        <v>61.04</v>
      </c>
      <c r="G37" s="56">
        <v>26.54</v>
      </c>
      <c r="H37" s="91">
        <f>G37*H13+G37</f>
        <v>32.503538</v>
      </c>
      <c r="I37" s="57">
        <f t="shared" si="4"/>
        <v>1984.0159595199998</v>
      </c>
      <c r="J37" s="1"/>
      <c r="K37" s="1"/>
      <c r="L37" s="1"/>
      <c r="M37" s="1"/>
      <c r="N37" s="1"/>
    </row>
    <row r="38" spans="1:14" ht="29.25" customHeight="1">
      <c r="A38" s="138" t="s">
        <v>34</v>
      </c>
      <c r="B38" s="134"/>
      <c r="C38" s="134"/>
      <c r="D38" s="148" t="s">
        <v>140</v>
      </c>
      <c r="E38" s="143"/>
      <c r="F38" s="144"/>
      <c r="G38" s="145"/>
      <c r="H38" s="149"/>
      <c r="I38" s="146">
        <f>SUM(I39:I65)</f>
        <v>27576.933542594</v>
      </c>
      <c r="J38" s="1"/>
      <c r="K38" s="1"/>
      <c r="L38" s="154">
        <f>I38/2</f>
        <v>13788.466771297</v>
      </c>
      <c r="M38" s="154">
        <f>I38/2</f>
        <v>13788.466771297</v>
      </c>
      <c r="N38" s="1"/>
    </row>
    <row r="39" spans="1:14" ht="16.5" customHeight="1" hidden="1">
      <c r="A39" s="138" t="s">
        <v>35</v>
      </c>
      <c r="B39" s="134"/>
      <c r="C39" s="134"/>
      <c r="D39" s="148" t="s">
        <v>57</v>
      </c>
      <c r="E39" s="143"/>
      <c r="F39" s="144"/>
      <c r="G39" s="145"/>
      <c r="H39" s="149"/>
      <c r="I39" s="146"/>
      <c r="J39" s="1"/>
      <c r="K39" s="1"/>
      <c r="L39" s="1"/>
      <c r="M39" s="1"/>
      <c r="N39" s="1"/>
    </row>
    <row r="40" spans="1:14" ht="30" hidden="1">
      <c r="A40" s="6" t="s">
        <v>143</v>
      </c>
      <c r="B40" s="19" t="s">
        <v>64</v>
      </c>
      <c r="C40" s="9" t="s">
        <v>10</v>
      </c>
      <c r="D40" s="40" t="s">
        <v>58</v>
      </c>
      <c r="E40" s="31" t="s">
        <v>20</v>
      </c>
      <c r="F40" s="132">
        <f>MEMÓRIA!D24</f>
        <v>0.8999999999999999</v>
      </c>
      <c r="G40" s="91">
        <v>58.41</v>
      </c>
      <c r="H40" s="91">
        <f>G40*H13+G40</f>
        <v>71.534727</v>
      </c>
      <c r="I40" s="91">
        <f>H40*F40</f>
        <v>64.3812543</v>
      </c>
      <c r="J40" s="1"/>
      <c r="K40" s="1"/>
      <c r="L40" s="1"/>
      <c r="M40" s="1"/>
      <c r="N40" s="1"/>
    </row>
    <row r="41" spans="1:14" ht="15" hidden="1">
      <c r="A41" s="6" t="s">
        <v>144</v>
      </c>
      <c r="B41" s="31" t="s">
        <v>65</v>
      </c>
      <c r="C41" s="9" t="s">
        <v>10</v>
      </c>
      <c r="D41" s="33" t="s">
        <v>59</v>
      </c>
      <c r="E41" s="31" t="s">
        <v>20</v>
      </c>
      <c r="F41" s="132">
        <f>MEMÓRIA!D25</f>
        <v>0.15000000000000002</v>
      </c>
      <c r="G41" s="91">
        <v>144.71</v>
      </c>
      <c r="H41" s="91">
        <f>G41*H13+G41</f>
        <v>177.226337</v>
      </c>
      <c r="I41" s="91">
        <f aca="true" t="shared" si="5" ref="I41:I46">H41*F41</f>
        <v>26.583950550000004</v>
      </c>
      <c r="J41" s="1"/>
      <c r="K41" s="1"/>
      <c r="L41" s="1"/>
      <c r="M41" s="1"/>
      <c r="N41" s="1"/>
    </row>
    <row r="42" spans="1:14" ht="15" hidden="1">
      <c r="A42" s="27" t="s">
        <v>145</v>
      </c>
      <c r="B42" s="31" t="s">
        <v>66</v>
      </c>
      <c r="C42" s="9" t="s">
        <v>10</v>
      </c>
      <c r="D42" s="33" t="s">
        <v>60</v>
      </c>
      <c r="E42" s="31" t="s">
        <v>20</v>
      </c>
      <c r="F42" s="132">
        <f>MEMÓRIA!D26</f>
        <v>0.8999999999999999</v>
      </c>
      <c r="G42" s="91">
        <v>416.28</v>
      </c>
      <c r="H42" s="91">
        <f>G42*H13+G42</f>
        <v>509.818116</v>
      </c>
      <c r="I42" s="91">
        <f t="shared" si="5"/>
        <v>458.83630439999996</v>
      </c>
      <c r="J42" s="1"/>
      <c r="K42" s="1"/>
      <c r="L42" s="1"/>
      <c r="M42" s="1"/>
      <c r="N42" s="1"/>
    </row>
    <row r="43" spans="1:14" ht="15" hidden="1">
      <c r="A43" s="27" t="s">
        <v>146</v>
      </c>
      <c r="B43" s="19" t="s">
        <v>67</v>
      </c>
      <c r="C43" s="9" t="s">
        <v>10</v>
      </c>
      <c r="D43" s="147" t="s">
        <v>61</v>
      </c>
      <c r="E43" s="31" t="s">
        <v>20</v>
      </c>
      <c r="F43" s="132">
        <f>F42</f>
        <v>0.8999999999999999</v>
      </c>
      <c r="G43" s="91">
        <v>164.2</v>
      </c>
      <c r="H43" s="91">
        <f>G43*H13+G43</f>
        <v>201.09573999999998</v>
      </c>
      <c r="I43" s="91">
        <f>H43*F43</f>
        <v>180.98616599999997</v>
      </c>
      <c r="J43" s="1"/>
      <c r="K43" s="1"/>
      <c r="L43" s="1"/>
      <c r="M43" s="1"/>
      <c r="N43" s="1"/>
    </row>
    <row r="44" spans="1:14" ht="15" hidden="1">
      <c r="A44" s="27" t="s">
        <v>147</v>
      </c>
      <c r="B44" s="31" t="s">
        <v>68</v>
      </c>
      <c r="C44" s="9" t="s">
        <v>10</v>
      </c>
      <c r="D44" s="33" t="s">
        <v>62</v>
      </c>
      <c r="E44" s="31" t="s">
        <v>19</v>
      </c>
      <c r="F44" s="132">
        <f>MEMÓRIA!D27</f>
        <v>6</v>
      </c>
      <c r="G44" s="91">
        <v>96.34</v>
      </c>
      <c r="H44" s="91">
        <f>G44*H13+G44</f>
        <v>117.987598</v>
      </c>
      <c r="I44" s="91">
        <f t="shared" si="5"/>
        <v>707.9255880000001</v>
      </c>
      <c r="J44" s="1"/>
      <c r="K44" s="1"/>
      <c r="L44" s="1"/>
      <c r="M44" s="1"/>
      <c r="N44" s="1"/>
    </row>
    <row r="45" spans="1:14" ht="24" hidden="1">
      <c r="A45" s="27" t="s">
        <v>148</v>
      </c>
      <c r="B45" s="31" t="s">
        <v>69</v>
      </c>
      <c r="C45" s="9" t="s">
        <v>10</v>
      </c>
      <c r="D45" s="33" t="s">
        <v>63</v>
      </c>
      <c r="E45" s="31" t="s">
        <v>14</v>
      </c>
      <c r="F45" s="132">
        <f>MEMÓRIA!D28</f>
        <v>89.99999999999999</v>
      </c>
      <c r="G45" s="91">
        <v>11.59</v>
      </c>
      <c r="H45" s="91">
        <f>G45*H13+G45</f>
        <v>14.194272999999999</v>
      </c>
      <c r="I45" s="91">
        <f t="shared" si="5"/>
        <v>1277.4845699999996</v>
      </c>
      <c r="J45" s="1"/>
      <c r="K45" s="1"/>
      <c r="L45" s="1"/>
      <c r="M45" s="1"/>
      <c r="N45" s="1"/>
    </row>
    <row r="46" spans="1:14" ht="24" hidden="1">
      <c r="A46" s="27" t="s">
        <v>245</v>
      </c>
      <c r="B46" s="31" t="str">
        <f>'[2]desonerado-181'!$A$669</f>
        <v>12.01.021</v>
      </c>
      <c r="C46" s="9" t="s">
        <v>10</v>
      </c>
      <c r="D46" s="33" t="str">
        <f>'[2]desonerado-181'!$B$669</f>
        <v>Broca em concreto armado diâmetro de 20 cm - completa</v>
      </c>
      <c r="E46" s="31" t="s">
        <v>11</v>
      </c>
      <c r="F46" s="132">
        <f>MEMÓRIA!D29</f>
        <v>15</v>
      </c>
      <c r="G46" s="91">
        <v>62.42</v>
      </c>
      <c r="H46" s="91">
        <f>G46*H13+G46</f>
        <v>76.445774</v>
      </c>
      <c r="I46" s="91">
        <f t="shared" si="5"/>
        <v>1146.68661</v>
      </c>
      <c r="J46" s="1"/>
      <c r="K46" s="1"/>
      <c r="L46" s="1"/>
      <c r="M46" s="1"/>
      <c r="N46" s="1"/>
    </row>
    <row r="47" spans="1:14" ht="15" hidden="1">
      <c r="A47" s="138" t="s">
        <v>36</v>
      </c>
      <c r="B47" s="134"/>
      <c r="C47" s="134"/>
      <c r="D47" s="148" t="s">
        <v>70</v>
      </c>
      <c r="E47" s="143"/>
      <c r="F47" s="144"/>
      <c r="G47" s="145"/>
      <c r="H47" s="149"/>
      <c r="I47" s="146"/>
      <c r="J47" s="1"/>
      <c r="K47" s="1"/>
      <c r="L47" s="1"/>
      <c r="M47" s="1"/>
      <c r="N47" s="1"/>
    </row>
    <row r="48" spans="1:14" ht="15" hidden="1">
      <c r="A48" s="6" t="s">
        <v>149</v>
      </c>
      <c r="B48" s="31" t="s">
        <v>66</v>
      </c>
      <c r="C48" s="9" t="s">
        <v>10</v>
      </c>
      <c r="D48" s="33" t="s">
        <v>60</v>
      </c>
      <c r="E48" s="31" t="s">
        <v>20</v>
      </c>
      <c r="F48" s="132">
        <f>MEMÓRIA!D31</f>
        <v>0.875</v>
      </c>
      <c r="G48" s="91">
        <v>416.28</v>
      </c>
      <c r="H48" s="91">
        <f>G48*H18+G48</f>
        <v>875.1163044</v>
      </c>
      <c r="I48" s="91">
        <f aca="true" t="shared" si="6" ref="I48:I51">H48*F48</f>
        <v>765.7267663499999</v>
      </c>
      <c r="J48" s="1"/>
      <c r="K48" s="1"/>
      <c r="L48" s="1"/>
      <c r="M48" s="1"/>
      <c r="N48" s="1"/>
    </row>
    <row r="49" spans="1:14" ht="15" hidden="1">
      <c r="A49" s="6" t="s">
        <v>150</v>
      </c>
      <c r="B49" s="19" t="s">
        <v>247</v>
      </c>
      <c r="C49" s="9" t="s">
        <v>10</v>
      </c>
      <c r="D49" s="147" t="s">
        <v>246</v>
      </c>
      <c r="E49" s="31" t="s">
        <v>20</v>
      </c>
      <c r="F49" s="132">
        <f>F48</f>
        <v>0.875</v>
      </c>
      <c r="G49" s="91">
        <v>113.42</v>
      </c>
      <c r="H49" s="91">
        <f>G49*H13+G49</f>
        <v>138.905474</v>
      </c>
      <c r="I49" s="91">
        <f>H49*F49</f>
        <v>121.54228975</v>
      </c>
      <c r="J49" s="1"/>
      <c r="K49" s="1"/>
      <c r="L49" s="1"/>
      <c r="M49" s="1"/>
      <c r="N49" s="1"/>
    </row>
    <row r="50" spans="1:14" ht="15" hidden="1">
      <c r="A50" s="6" t="s">
        <v>151</v>
      </c>
      <c r="B50" s="31" t="s">
        <v>68</v>
      </c>
      <c r="C50" s="9" t="s">
        <v>10</v>
      </c>
      <c r="D50" s="33" t="s">
        <v>62</v>
      </c>
      <c r="E50" s="31" t="s">
        <v>19</v>
      </c>
      <c r="F50" s="132">
        <f>MEMÓRIA!D32</f>
        <v>14</v>
      </c>
      <c r="G50" s="91">
        <v>96.34</v>
      </c>
      <c r="H50" s="91">
        <f>G50*H18+G50</f>
        <v>202.5288382</v>
      </c>
      <c r="I50" s="91">
        <f t="shared" si="6"/>
        <v>2835.4037348</v>
      </c>
      <c r="J50" s="1"/>
      <c r="K50" s="1"/>
      <c r="L50" s="1"/>
      <c r="M50" s="1"/>
      <c r="N50" s="1"/>
    </row>
    <row r="51" spans="1:14" ht="24" hidden="1">
      <c r="A51" s="6" t="s">
        <v>248</v>
      </c>
      <c r="B51" s="31" t="s">
        <v>69</v>
      </c>
      <c r="C51" s="9" t="s">
        <v>10</v>
      </c>
      <c r="D51" s="33" t="s">
        <v>63</v>
      </c>
      <c r="E51" s="31" t="s">
        <v>14</v>
      </c>
      <c r="F51" s="132">
        <f>MEMÓRIA!D33</f>
        <v>87.5</v>
      </c>
      <c r="G51" s="91">
        <v>11.59</v>
      </c>
      <c r="H51" s="91">
        <f>G51*H18+G51</f>
        <v>24.3648457</v>
      </c>
      <c r="I51" s="91">
        <f t="shared" si="6"/>
        <v>2131.92399875</v>
      </c>
      <c r="J51" s="1"/>
      <c r="K51" s="1"/>
      <c r="L51" s="1"/>
      <c r="M51" s="1"/>
      <c r="N51" s="1"/>
    </row>
    <row r="52" spans="1:14" ht="15" hidden="1">
      <c r="A52" s="138" t="s">
        <v>90</v>
      </c>
      <c r="B52" s="134"/>
      <c r="C52" s="134"/>
      <c r="D52" s="148" t="s">
        <v>141</v>
      </c>
      <c r="E52" s="143"/>
      <c r="F52" s="144"/>
      <c r="G52" s="145"/>
      <c r="H52" s="149"/>
      <c r="I52" s="146"/>
      <c r="J52" s="1"/>
      <c r="K52" s="1"/>
      <c r="L52" s="1"/>
      <c r="M52" s="1"/>
      <c r="N52" s="1"/>
    </row>
    <row r="53" spans="1:14" ht="30" hidden="1">
      <c r="A53" s="6" t="s">
        <v>152</v>
      </c>
      <c r="B53" s="19" t="s">
        <v>38</v>
      </c>
      <c r="C53" s="19" t="s">
        <v>10</v>
      </c>
      <c r="D53" s="40" t="s">
        <v>37</v>
      </c>
      <c r="E53" s="54" t="s">
        <v>19</v>
      </c>
      <c r="F53" s="55">
        <f>MEMÓRIA!D35</f>
        <v>4.800000000000001</v>
      </c>
      <c r="G53" s="56">
        <v>76.65</v>
      </c>
      <c r="H53" s="91">
        <f>G53*H13+G53</f>
        <v>93.873255</v>
      </c>
      <c r="I53" s="57">
        <f>H53*F53</f>
        <v>450.5916240000001</v>
      </c>
      <c r="J53" s="1"/>
      <c r="K53" s="1"/>
      <c r="L53" s="1"/>
      <c r="M53" s="1"/>
      <c r="N53" s="1"/>
    </row>
    <row r="54" spans="1:14" ht="15" hidden="1">
      <c r="A54" s="6" t="s">
        <v>153</v>
      </c>
      <c r="B54" s="19" t="s">
        <v>32</v>
      </c>
      <c r="C54" s="19" t="s">
        <v>10</v>
      </c>
      <c r="D54" s="34" t="s">
        <v>30</v>
      </c>
      <c r="E54" s="54" t="s">
        <v>19</v>
      </c>
      <c r="F54" s="55">
        <f>MEMÓRIA!D36</f>
        <v>9.6</v>
      </c>
      <c r="G54" s="56">
        <v>6.67</v>
      </c>
      <c r="H54" s="91">
        <f>G54*H13+G54</f>
        <v>8.168749</v>
      </c>
      <c r="I54" s="57">
        <f>H54*F54</f>
        <v>78.4199904</v>
      </c>
      <c r="J54" s="1"/>
      <c r="K54" s="1"/>
      <c r="L54" s="1"/>
      <c r="M54" s="1"/>
      <c r="N54" s="1"/>
    </row>
    <row r="55" spans="1:14" ht="15" hidden="1">
      <c r="A55" s="6" t="s">
        <v>154</v>
      </c>
      <c r="B55" s="19" t="s">
        <v>29</v>
      </c>
      <c r="C55" s="19" t="s">
        <v>10</v>
      </c>
      <c r="D55" s="34" t="s">
        <v>28</v>
      </c>
      <c r="E55" s="54" t="s">
        <v>19</v>
      </c>
      <c r="F55" s="55">
        <f>MEMÓRIA!D37</f>
        <v>9.6</v>
      </c>
      <c r="G55" s="56">
        <v>20.75</v>
      </c>
      <c r="H55" s="91">
        <f>G55*H13+G55</f>
        <v>25.412525000000002</v>
      </c>
      <c r="I55" s="57">
        <f>H55*F55</f>
        <v>243.96024</v>
      </c>
      <c r="J55" s="1"/>
      <c r="K55" s="1"/>
      <c r="L55" s="1"/>
      <c r="M55" s="1"/>
      <c r="N55" s="1"/>
    </row>
    <row r="56" spans="1:14" ht="15" hidden="1">
      <c r="A56" s="6" t="s">
        <v>155</v>
      </c>
      <c r="B56" s="19" t="s">
        <v>33</v>
      </c>
      <c r="C56" s="19" t="s">
        <v>10</v>
      </c>
      <c r="D56" s="34" t="s">
        <v>31</v>
      </c>
      <c r="E56" s="54" t="s">
        <v>19</v>
      </c>
      <c r="F56" s="55">
        <f>MEMÓRIA!D38</f>
        <v>9.6</v>
      </c>
      <c r="G56" s="56">
        <v>12.49</v>
      </c>
      <c r="H56" s="91">
        <f>G56*H13+G56</f>
        <v>15.296503000000001</v>
      </c>
      <c r="I56" s="57">
        <f>H56*F56</f>
        <v>146.8464288</v>
      </c>
      <c r="J56" s="1"/>
      <c r="K56" s="1"/>
      <c r="L56" s="1"/>
      <c r="M56" s="1"/>
      <c r="N56" s="1"/>
    </row>
    <row r="57" spans="1:14" ht="15" hidden="1">
      <c r="A57" s="6" t="s">
        <v>156</v>
      </c>
      <c r="B57" s="31" t="s">
        <v>71</v>
      </c>
      <c r="C57" s="42" t="s">
        <v>10</v>
      </c>
      <c r="D57" s="33" t="s">
        <v>142</v>
      </c>
      <c r="E57" s="41" t="s">
        <v>19</v>
      </c>
      <c r="F57" s="132">
        <f>MEMÓRIA!D39</f>
        <v>9.6</v>
      </c>
      <c r="G57" s="91">
        <v>28.91</v>
      </c>
      <c r="H57" s="91">
        <f>G57*H13+G57</f>
        <v>35.406077</v>
      </c>
      <c r="I57" s="91">
        <f>H57*F57</f>
        <v>339.8983392</v>
      </c>
      <c r="J57" s="1"/>
      <c r="K57" s="1"/>
      <c r="L57" s="1"/>
      <c r="M57" s="1"/>
      <c r="N57" s="1"/>
    </row>
    <row r="58" spans="1:14" ht="45" hidden="1">
      <c r="A58" s="6" t="s">
        <v>219</v>
      </c>
      <c r="B58" s="19">
        <v>101090</v>
      </c>
      <c r="C58" s="9" t="s">
        <v>138</v>
      </c>
      <c r="D58" s="58" t="s">
        <v>172</v>
      </c>
      <c r="E58" s="31" t="s">
        <v>19</v>
      </c>
      <c r="F58" s="151">
        <f>MEMÓRIA!D40</f>
        <v>23.4</v>
      </c>
      <c r="G58" s="97">
        <v>182.74</v>
      </c>
      <c r="H58" s="97">
        <f>G58*H13+G58</f>
        <v>223.801678</v>
      </c>
      <c r="I58" s="97">
        <f aca="true" t="shared" si="7" ref="I58">H58*F58</f>
        <v>5236.9592652</v>
      </c>
      <c r="J58" s="1"/>
      <c r="K58" s="1"/>
      <c r="L58" s="1"/>
      <c r="M58" s="1"/>
      <c r="N58" s="1"/>
    </row>
    <row r="59" spans="1:14" ht="15" hidden="1">
      <c r="A59" s="138" t="s">
        <v>98</v>
      </c>
      <c r="B59" s="134"/>
      <c r="C59" s="134"/>
      <c r="D59" s="148" t="s">
        <v>51</v>
      </c>
      <c r="E59" s="143"/>
      <c r="F59" s="144"/>
      <c r="G59" s="145"/>
      <c r="H59" s="149"/>
      <c r="I59" s="146"/>
      <c r="J59" s="1"/>
      <c r="K59" s="1"/>
      <c r="L59" s="1"/>
      <c r="M59" s="1"/>
      <c r="N59" s="1"/>
    </row>
    <row r="60" spans="1:14" ht="30" hidden="1">
      <c r="A60" s="6" t="s">
        <v>157</v>
      </c>
      <c r="B60" s="19" t="s">
        <v>108</v>
      </c>
      <c r="C60" s="41" t="s">
        <v>10</v>
      </c>
      <c r="D60" s="40" t="s">
        <v>106</v>
      </c>
      <c r="E60" s="41" t="s">
        <v>19</v>
      </c>
      <c r="F60" s="132">
        <f>MEMÓRIA!D42</f>
        <v>35.43</v>
      </c>
      <c r="G60" s="91">
        <v>151.83</v>
      </c>
      <c r="H60" s="91">
        <f>G60*H13+G60</f>
        <v>185.94620100000003</v>
      </c>
      <c r="I60" s="91">
        <f aca="true" t="shared" si="8" ref="I60:I63">H60*F60</f>
        <v>6588.073901430001</v>
      </c>
      <c r="J60" s="1"/>
      <c r="K60" s="1"/>
      <c r="L60" s="1"/>
      <c r="M60" s="1"/>
      <c r="N60" s="1"/>
    </row>
    <row r="61" spans="1:14" ht="15" hidden="1">
      <c r="A61" s="6" t="s">
        <v>158</v>
      </c>
      <c r="B61" s="19" t="s">
        <v>109</v>
      </c>
      <c r="C61" s="41" t="s">
        <v>10</v>
      </c>
      <c r="D61" s="34" t="s">
        <v>107</v>
      </c>
      <c r="E61" s="41" t="s">
        <v>19</v>
      </c>
      <c r="F61" s="132">
        <f>MEMÓRIA!D43</f>
        <v>38.2644</v>
      </c>
      <c r="G61" s="91">
        <v>59.8</v>
      </c>
      <c r="H61" s="91">
        <f>G61*H13+G61</f>
        <v>73.23706</v>
      </c>
      <c r="I61" s="91">
        <f t="shared" si="8"/>
        <v>2802.372158664</v>
      </c>
      <c r="J61" s="1"/>
      <c r="K61" s="1"/>
      <c r="L61" s="1"/>
      <c r="M61" s="1"/>
      <c r="N61" s="1"/>
    </row>
    <row r="62" spans="1:14" ht="30" hidden="1">
      <c r="A62" s="6" t="s">
        <v>159</v>
      </c>
      <c r="B62" s="19" t="s">
        <v>104</v>
      </c>
      <c r="C62" s="41" t="s">
        <v>10</v>
      </c>
      <c r="D62" s="40" t="s">
        <v>103</v>
      </c>
      <c r="E62" s="41" t="s">
        <v>11</v>
      </c>
      <c r="F62" s="132">
        <f>MEMÓRIA!D44</f>
        <v>18.5</v>
      </c>
      <c r="G62" s="91">
        <v>28.7</v>
      </c>
      <c r="H62" s="91">
        <f>G62*H13+G62</f>
        <v>35.14889</v>
      </c>
      <c r="I62" s="91">
        <f t="shared" si="8"/>
        <v>650.254465</v>
      </c>
      <c r="J62" s="1"/>
      <c r="K62" s="1"/>
      <c r="L62" s="1"/>
      <c r="M62" s="1"/>
      <c r="N62" s="1"/>
    </row>
    <row r="63" spans="1:14" ht="15" hidden="1">
      <c r="A63" s="6" t="s">
        <v>160</v>
      </c>
      <c r="B63" s="19" t="s">
        <v>111</v>
      </c>
      <c r="C63" s="41" t="s">
        <v>10</v>
      </c>
      <c r="D63" s="34" t="s">
        <v>110</v>
      </c>
      <c r="E63" s="41" t="s">
        <v>11</v>
      </c>
      <c r="F63" s="132">
        <f>MEMÓRIA!D45</f>
        <v>15</v>
      </c>
      <c r="G63" s="91">
        <v>35.83</v>
      </c>
      <c r="H63" s="91">
        <f>G63*H13+G63</f>
        <v>43.881001</v>
      </c>
      <c r="I63" s="91">
        <f t="shared" si="8"/>
        <v>658.215015</v>
      </c>
      <c r="J63" s="1"/>
      <c r="K63" s="1"/>
      <c r="L63" s="1"/>
      <c r="M63" s="1"/>
      <c r="N63" s="1"/>
    </row>
    <row r="64" spans="1:14" ht="15" hidden="1">
      <c r="A64" s="138" t="s">
        <v>99</v>
      </c>
      <c r="B64" s="134"/>
      <c r="C64" s="134"/>
      <c r="D64" s="148" t="s">
        <v>241</v>
      </c>
      <c r="E64" s="143"/>
      <c r="F64" s="144"/>
      <c r="G64" s="145"/>
      <c r="H64" s="149"/>
      <c r="I64" s="146"/>
      <c r="J64" s="1"/>
      <c r="K64" s="1"/>
      <c r="L64" s="1"/>
      <c r="M64" s="1"/>
      <c r="N64" s="1"/>
    </row>
    <row r="65" spans="1:14" ht="60" hidden="1">
      <c r="A65" s="53" t="s">
        <v>244</v>
      </c>
      <c r="B65" s="41" t="s">
        <v>242</v>
      </c>
      <c r="C65" s="41" t="s">
        <v>10</v>
      </c>
      <c r="D65" s="58" t="s">
        <v>243</v>
      </c>
      <c r="E65" s="41" t="s">
        <v>12</v>
      </c>
      <c r="F65" s="132">
        <v>2</v>
      </c>
      <c r="G65" s="91">
        <v>271.03</v>
      </c>
      <c r="H65" s="91">
        <f>G65*H13+G65</f>
        <v>331.930441</v>
      </c>
      <c r="I65" s="91">
        <f>H65*F65</f>
        <v>663.860882</v>
      </c>
      <c r="J65" s="1"/>
      <c r="K65" s="1"/>
      <c r="L65" s="1"/>
      <c r="M65" s="1"/>
      <c r="N65" s="1"/>
    </row>
    <row r="66" spans="1:14" ht="27" customHeight="1">
      <c r="A66" s="138" t="s">
        <v>39</v>
      </c>
      <c r="B66" s="134"/>
      <c r="C66" s="134"/>
      <c r="D66" s="148" t="s">
        <v>190</v>
      </c>
      <c r="E66" s="143"/>
      <c r="F66" s="144"/>
      <c r="G66" s="145"/>
      <c r="H66" s="149"/>
      <c r="I66" s="146">
        <f>SUM(I67:I75)</f>
        <v>111087.32022705667</v>
      </c>
      <c r="J66" s="154"/>
      <c r="K66" s="154">
        <f>I66/3</f>
        <v>37029.106742352225</v>
      </c>
      <c r="L66" s="154">
        <f>I66/3</f>
        <v>37029.106742352225</v>
      </c>
      <c r="M66" s="154">
        <f>I66/3</f>
        <v>37029.106742352225</v>
      </c>
      <c r="N66" s="1"/>
    </row>
    <row r="67" spans="1:14" ht="15" hidden="1">
      <c r="A67" s="6" t="s">
        <v>40</v>
      </c>
      <c r="B67" s="164" t="s">
        <v>195</v>
      </c>
      <c r="C67" s="164"/>
      <c r="D67" s="58" t="s">
        <v>194</v>
      </c>
      <c r="E67" s="54" t="s">
        <v>12</v>
      </c>
      <c r="F67" s="55">
        <v>56</v>
      </c>
      <c r="G67" s="91">
        <f>'[3]quadro resumo orçamentos'!$D$7</f>
        <v>1366.743333333333</v>
      </c>
      <c r="H67" s="91">
        <f>G67*H13+G67</f>
        <v>1673.850560333333</v>
      </c>
      <c r="I67" s="57">
        <f>H67*F67</f>
        <v>93735.63137866666</v>
      </c>
      <c r="J67" s="1"/>
      <c r="K67" s="1"/>
      <c r="L67" s="1"/>
      <c r="M67" s="1"/>
      <c r="N67" s="1"/>
    </row>
    <row r="68" spans="1:14" ht="50.25" customHeight="1" hidden="1">
      <c r="A68" s="6" t="s">
        <v>41</v>
      </c>
      <c r="B68" s="19">
        <v>101522</v>
      </c>
      <c r="C68" s="19" t="s">
        <v>138</v>
      </c>
      <c r="D68" s="58" t="s">
        <v>234</v>
      </c>
      <c r="E68" s="54" t="s">
        <v>12</v>
      </c>
      <c r="F68" s="55">
        <f>MEMÓRIA!D48</f>
        <v>1</v>
      </c>
      <c r="G68" s="56">
        <v>1146.7</v>
      </c>
      <c r="H68" s="91">
        <f>G68*H13+G68</f>
        <v>1404.3634900000002</v>
      </c>
      <c r="I68" s="57">
        <f>H68*F68</f>
        <v>1404.3634900000002</v>
      </c>
      <c r="J68" s="1"/>
      <c r="K68" s="1"/>
      <c r="L68" s="1"/>
      <c r="M68" s="1"/>
      <c r="N68" s="1"/>
    </row>
    <row r="69" spans="1:14" ht="30" hidden="1">
      <c r="A69" s="6" t="s">
        <v>100</v>
      </c>
      <c r="B69" s="19" t="s">
        <v>64</v>
      </c>
      <c r="C69" s="9" t="s">
        <v>10</v>
      </c>
      <c r="D69" s="40" t="s">
        <v>58</v>
      </c>
      <c r="E69" s="31" t="s">
        <v>20</v>
      </c>
      <c r="F69" s="55">
        <f>MEMÓRIA!D49</f>
        <v>10.35</v>
      </c>
      <c r="G69" s="91">
        <v>58.41</v>
      </c>
      <c r="H69" s="91">
        <f>H13*G69+G69</f>
        <v>71.534727</v>
      </c>
      <c r="I69" s="57">
        <f aca="true" t="shared" si="9" ref="I69:I72">H69*F69</f>
        <v>740.38442445</v>
      </c>
      <c r="J69" s="1"/>
      <c r="K69" s="1"/>
      <c r="L69" s="1"/>
      <c r="M69" s="1"/>
      <c r="N69" s="1"/>
    </row>
    <row r="70" spans="1:14" ht="15" hidden="1">
      <c r="A70" s="6" t="s">
        <v>101</v>
      </c>
      <c r="B70" s="31" t="s">
        <v>66</v>
      </c>
      <c r="C70" s="9" t="s">
        <v>10</v>
      </c>
      <c r="D70" s="33" t="s">
        <v>60</v>
      </c>
      <c r="E70" s="31" t="s">
        <v>20</v>
      </c>
      <c r="F70" s="55">
        <f>MEMÓRIA!D50</f>
        <v>3.105</v>
      </c>
      <c r="G70" s="91">
        <v>416.28</v>
      </c>
      <c r="H70" s="91">
        <f>G70*H13+G70</f>
        <v>509.818116</v>
      </c>
      <c r="I70" s="57"/>
      <c r="J70" s="1"/>
      <c r="K70" s="1"/>
      <c r="L70" s="1"/>
      <c r="M70" s="1"/>
      <c r="N70" s="1"/>
    </row>
    <row r="71" spans="1:14" ht="15" hidden="1">
      <c r="A71" s="6" t="s">
        <v>102</v>
      </c>
      <c r="B71" s="19" t="s">
        <v>67</v>
      </c>
      <c r="C71" s="9" t="s">
        <v>10</v>
      </c>
      <c r="D71" s="147" t="s">
        <v>61</v>
      </c>
      <c r="E71" s="31" t="s">
        <v>20</v>
      </c>
      <c r="F71" s="132">
        <f>F70</f>
        <v>3.105</v>
      </c>
      <c r="G71" s="91">
        <v>164.2</v>
      </c>
      <c r="H71" s="91">
        <f>G71*H13+G71</f>
        <v>201.09573999999998</v>
      </c>
      <c r="I71" s="91">
        <f>H71*F71</f>
        <v>624.4022726999999</v>
      </c>
      <c r="J71" s="1"/>
      <c r="K71" s="1"/>
      <c r="L71" s="1"/>
      <c r="M71" s="1"/>
      <c r="N71" s="1"/>
    </row>
    <row r="72" spans="1:14" ht="15" hidden="1">
      <c r="A72" s="6" t="s">
        <v>235</v>
      </c>
      <c r="B72" s="19" t="s">
        <v>226</v>
      </c>
      <c r="C72" s="9" t="s">
        <v>10</v>
      </c>
      <c r="D72" s="147" t="s">
        <v>227</v>
      </c>
      <c r="E72" s="54" t="s">
        <v>20</v>
      </c>
      <c r="F72" s="55">
        <f>MEMÓRIA!D51</f>
        <v>7.244999999999999</v>
      </c>
      <c r="G72" s="56">
        <v>18.16</v>
      </c>
      <c r="H72" s="91">
        <f>H13*G72+G72</f>
        <v>22.240552</v>
      </c>
      <c r="I72" s="57">
        <f t="shared" si="9"/>
        <v>161.13279924</v>
      </c>
      <c r="J72" s="1"/>
      <c r="K72" s="1"/>
      <c r="L72" s="1"/>
      <c r="M72" s="1"/>
      <c r="N72" s="1"/>
    </row>
    <row r="73" spans="1:14" ht="30" hidden="1">
      <c r="A73" s="53" t="s">
        <v>236</v>
      </c>
      <c r="B73" s="19" t="s">
        <v>228</v>
      </c>
      <c r="C73" s="9" t="s">
        <v>10</v>
      </c>
      <c r="D73" s="58" t="s">
        <v>229</v>
      </c>
      <c r="E73" s="54" t="s">
        <v>11</v>
      </c>
      <c r="F73" s="55">
        <f>MEMÓRIA!D52</f>
        <v>638</v>
      </c>
      <c r="G73" s="56">
        <v>5.07</v>
      </c>
      <c r="H73" s="91">
        <f>H13*G73+G73</f>
        <v>6.2092290000000006</v>
      </c>
      <c r="I73" s="57">
        <f>H73*F73</f>
        <v>3961.4881020000003</v>
      </c>
      <c r="J73" s="1"/>
      <c r="K73" s="1"/>
      <c r="L73" s="1"/>
      <c r="M73" s="1"/>
      <c r="N73" s="1"/>
    </row>
    <row r="74" spans="1:14" ht="30" hidden="1">
      <c r="A74" s="53" t="s">
        <v>237</v>
      </c>
      <c r="B74" s="19" t="s">
        <v>230</v>
      </c>
      <c r="C74" s="9" t="s">
        <v>10</v>
      </c>
      <c r="D74" s="58" t="s">
        <v>231</v>
      </c>
      <c r="E74" s="54" t="s">
        <v>11</v>
      </c>
      <c r="F74" s="55">
        <f>MEMÓRIA!D53</f>
        <v>600</v>
      </c>
      <c r="G74" s="56">
        <v>7.16</v>
      </c>
      <c r="H74" s="91">
        <f>G74*H13+G74</f>
        <v>8.768852</v>
      </c>
      <c r="I74" s="57">
        <f>H74*F74</f>
        <v>5261.3112</v>
      </c>
      <c r="J74" s="1"/>
      <c r="K74" s="1"/>
      <c r="L74" s="1"/>
      <c r="M74" s="1"/>
      <c r="N74" s="1"/>
    </row>
    <row r="75" spans="1:14" ht="15" hidden="1">
      <c r="A75" s="53" t="s">
        <v>249</v>
      </c>
      <c r="B75" s="19" t="s">
        <v>232</v>
      </c>
      <c r="C75" s="9" t="s">
        <v>10</v>
      </c>
      <c r="D75" s="147" t="s">
        <v>233</v>
      </c>
      <c r="E75" s="31" t="s">
        <v>11</v>
      </c>
      <c r="F75" s="55">
        <f>MEMÓRIA!D54</f>
        <v>140</v>
      </c>
      <c r="G75" s="91">
        <v>30.32</v>
      </c>
      <c r="H75" s="91">
        <f>G75*H13+G75</f>
        <v>37.132904</v>
      </c>
      <c r="I75" s="57">
        <f>H75*F75</f>
        <v>5198.60656</v>
      </c>
      <c r="J75" s="1"/>
      <c r="K75" s="1"/>
      <c r="L75" s="1"/>
      <c r="M75" s="1"/>
      <c r="N75" s="1"/>
    </row>
    <row r="76" spans="1:14" ht="31.5" customHeight="1">
      <c r="A76" s="138" t="s">
        <v>42</v>
      </c>
      <c r="B76" s="134"/>
      <c r="C76" s="134"/>
      <c r="D76" s="148" t="s">
        <v>196</v>
      </c>
      <c r="E76" s="143"/>
      <c r="F76" s="144"/>
      <c r="G76" s="145"/>
      <c r="H76" s="149"/>
      <c r="I76" s="146">
        <f>SUM(I77:I88)</f>
        <v>51891.469772000004</v>
      </c>
      <c r="J76" s="1"/>
      <c r="K76" s="1"/>
      <c r="L76" s="1"/>
      <c r="M76" s="1"/>
      <c r="N76" s="154">
        <f>I76</f>
        <v>51891.469772000004</v>
      </c>
    </row>
    <row r="77" spans="1:14" ht="16.5" customHeight="1" hidden="1">
      <c r="A77" s="6" t="s">
        <v>43</v>
      </c>
      <c r="B77" s="19" t="s">
        <v>198</v>
      </c>
      <c r="C77" s="19" t="s">
        <v>10</v>
      </c>
      <c r="D77" s="147" t="s">
        <v>197</v>
      </c>
      <c r="E77" s="54" t="s">
        <v>12</v>
      </c>
      <c r="F77" s="55">
        <v>24</v>
      </c>
      <c r="G77" s="56">
        <v>496.08</v>
      </c>
      <c r="H77" s="91">
        <f>G77*H13+G77</f>
        <v>607.549176</v>
      </c>
      <c r="I77" s="57">
        <f>H77*F77</f>
        <v>14581.180224</v>
      </c>
      <c r="J77" s="1"/>
      <c r="K77" s="1"/>
      <c r="L77" s="1"/>
      <c r="M77" s="1"/>
      <c r="N77" s="1"/>
    </row>
    <row r="78" spans="1:14" ht="15.75" customHeight="1" hidden="1">
      <c r="A78" s="6" t="s">
        <v>44</v>
      </c>
      <c r="B78" s="19" t="s">
        <v>200</v>
      </c>
      <c r="C78" s="19" t="s">
        <v>10</v>
      </c>
      <c r="D78" s="147" t="s">
        <v>199</v>
      </c>
      <c r="E78" s="54" t="s">
        <v>12</v>
      </c>
      <c r="F78" s="55">
        <v>1</v>
      </c>
      <c r="G78" s="56">
        <v>4893.85</v>
      </c>
      <c r="H78" s="91">
        <f>G78*H13+G78</f>
        <v>5993.498095000001</v>
      </c>
      <c r="I78" s="57">
        <f>H78*F78</f>
        <v>5993.498095000001</v>
      </c>
      <c r="J78" s="1"/>
      <c r="K78" s="1"/>
      <c r="L78" s="1"/>
      <c r="M78" s="1"/>
      <c r="N78" s="1"/>
    </row>
    <row r="79" spans="1:14" ht="15.75" customHeight="1" hidden="1">
      <c r="A79" s="6" t="s">
        <v>45</v>
      </c>
      <c r="B79" s="19" t="s">
        <v>202</v>
      </c>
      <c r="C79" s="19" t="s">
        <v>10</v>
      </c>
      <c r="D79" s="147" t="s">
        <v>201</v>
      </c>
      <c r="E79" s="54" t="s">
        <v>12</v>
      </c>
      <c r="F79" s="55">
        <v>1</v>
      </c>
      <c r="G79" s="56">
        <v>1624.47</v>
      </c>
      <c r="H79" s="91">
        <f>G79*H13+G79</f>
        <v>1989.488409</v>
      </c>
      <c r="I79" s="57">
        <f>H79*F79</f>
        <v>1989.488409</v>
      </c>
      <c r="J79" s="1"/>
      <c r="K79" s="1"/>
      <c r="L79" s="1"/>
      <c r="M79" s="1"/>
      <c r="N79" s="1"/>
    </row>
    <row r="80" spans="1:14" ht="15" hidden="1">
      <c r="A80" s="6" t="s">
        <v>46</v>
      </c>
      <c r="B80" s="19" t="s">
        <v>204</v>
      </c>
      <c r="C80" s="19" t="s">
        <v>10</v>
      </c>
      <c r="D80" s="147" t="s">
        <v>203</v>
      </c>
      <c r="E80" s="54" t="s">
        <v>12</v>
      </c>
      <c r="F80" s="55">
        <v>1</v>
      </c>
      <c r="G80" s="56">
        <v>1347.15</v>
      </c>
      <c r="H80" s="91">
        <f>H13*G80+G80</f>
        <v>1649.854605</v>
      </c>
      <c r="I80" s="57">
        <f>F80*H80</f>
        <v>1649.854605</v>
      </c>
      <c r="J80" s="1"/>
      <c r="K80" s="1"/>
      <c r="L80" s="1"/>
      <c r="M80" s="1"/>
      <c r="N80" s="1"/>
    </row>
    <row r="81" spans="1:14" ht="15" hidden="1">
      <c r="A81" s="6" t="s">
        <v>47</v>
      </c>
      <c r="B81" s="19" t="s">
        <v>206</v>
      </c>
      <c r="C81" s="19" t="s">
        <v>10</v>
      </c>
      <c r="D81" s="147" t="s">
        <v>205</v>
      </c>
      <c r="E81" s="54" t="s">
        <v>12</v>
      </c>
      <c r="F81" s="55">
        <v>1</v>
      </c>
      <c r="G81" s="56">
        <v>1750.59</v>
      </c>
      <c r="H81" s="91">
        <f>H13*G81+G81</f>
        <v>2143.947573</v>
      </c>
      <c r="I81" s="57">
        <f>H81*F81</f>
        <v>2143.947573</v>
      </c>
      <c r="J81" s="1"/>
      <c r="K81" s="1"/>
      <c r="L81" s="1"/>
      <c r="M81" s="1"/>
      <c r="N81" s="1"/>
    </row>
    <row r="82" spans="1:14" ht="62.25" customHeight="1" hidden="1">
      <c r="A82" s="6" t="s">
        <v>48</v>
      </c>
      <c r="B82" s="19">
        <v>103189</v>
      </c>
      <c r="C82" s="19" t="s">
        <v>138</v>
      </c>
      <c r="D82" s="58" t="s">
        <v>207</v>
      </c>
      <c r="E82" s="54" t="s">
        <v>12</v>
      </c>
      <c r="F82" s="55">
        <v>1</v>
      </c>
      <c r="G82" s="56">
        <v>2581.8</v>
      </c>
      <c r="H82" s="91">
        <f>H13*G82+G82</f>
        <v>3161.9304600000005</v>
      </c>
      <c r="I82" s="57">
        <f>H82*F82</f>
        <v>3161.9304600000005</v>
      </c>
      <c r="J82" s="1"/>
      <c r="K82" s="1"/>
      <c r="L82" s="1"/>
      <c r="M82" s="1"/>
      <c r="N82" s="1"/>
    </row>
    <row r="83" spans="1:14" ht="75" hidden="1">
      <c r="A83" s="6" t="s">
        <v>80</v>
      </c>
      <c r="B83" s="19">
        <v>103192</v>
      </c>
      <c r="C83" s="19" t="s">
        <v>138</v>
      </c>
      <c r="D83" s="58" t="s">
        <v>208</v>
      </c>
      <c r="E83" s="54" t="s">
        <v>12</v>
      </c>
      <c r="F83" s="55">
        <v>1</v>
      </c>
      <c r="G83" s="56">
        <v>2480.8</v>
      </c>
      <c r="H83" s="91">
        <f>H13*G83+G83</f>
        <v>3038.2357600000005</v>
      </c>
      <c r="I83" s="57">
        <f>H83*F83</f>
        <v>3038.2357600000005</v>
      </c>
      <c r="J83" s="1"/>
      <c r="K83" s="1"/>
      <c r="L83" s="1"/>
      <c r="M83" s="1"/>
      <c r="N83" s="1"/>
    </row>
    <row r="84" spans="1:14" ht="90" hidden="1">
      <c r="A84" s="6" t="s">
        <v>81</v>
      </c>
      <c r="B84" s="19">
        <v>103193</v>
      </c>
      <c r="C84" s="19" t="s">
        <v>138</v>
      </c>
      <c r="D84" s="58" t="s">
        <v>209</v>
      </c>
      <c r="E84" s="54" t="s">
        <v>12</v>
      </c>
      <c r="F84" s="55">
        <v>1</v>
      </c>
      <c r="G84" s="56">
        <v>1910.03</v>
      </c>
      <c r="H84" s="91">
        <f>H13*G84+G84</f>
        <v>2339.213741</v>
      </c>
      <c r="I84" s="57">
        <f>H84*F84</f>
        <v>2339.213741</v>
      </c>
      <c r="J84" s="1"/>
      <c r="K84" s="1"/>
      <c r="L84" s="1"/>
      <c r="M84" s="1"/>
      <c r="N84" s="1"/>
    </row>
    <row r="85" spans="1:14" ht="75" hidden="1">
      <c r="A85" s="53" t="s">
        <v>82</v>
      </c>
      <c r="B85" s="19">
        <v>103194</v>
      </c>
      <c r="C85" s="19" t="s">
        <v>138</v>
      </c>
      <c r="D85" s="58" t="s">
        <v>210</v>
      </c>
      <c r="E85" s="54" t="s">
        <v>12</v>
      </c>
      <c r="F85" s="55">
        <v>1</v>
      </c>
      <c r="G85" s="56">
        <v>2752.51</v>
      </c>
      <c r="H85" s="91">
        <f>H13*G85+G85</f>
        <v>3370.998997</v>
      </c>
      <c r="I85" s="57">
        <f>H85*F85</f>
        <v>3370.998997</v>
      </c>
      <c r="J85" s="1"/>
      <c r="K85" s="1"/>
      <c r="L85" s="1"/>
      <c r="M85" s="1"/>
      <c r="N85" s="1"/>
    </row>
    <row r="86" spans="1:14" ht="75" hidden="1">
      <c r="A86" s="53" t="s">
        <v>112</v>
      </c>
      <c r="B86" s="19">
        <v>103191</v>
      </c>
      <c r="C86" s="19" t="s">
        <v>138</v>
      </c>
      <c r="D86" s="58" t="s">
        <v>211</v>
      </c>
      <c r="E86" s="54" t="s">
        <v>12</v>
      </c>
      <c r="F86" s="55">
        <v>1</v>
      </c>
      <c r="G86" s="56">
        <v>2329.94</v>
      </c>
      <c r="H86" s="91">
        <f>H13*G86+G86</f>
        <v>2853.477518</v>
      </c>
      <c r="I86" s="57">
        <f aca="true" t="shared" si="10" ref="I86:I87">H86*F86</f>
        <v>2853.477518</v>
      </c>
      <c r="J86" s="1"/>
      <c r="K86" s="1"/>
      <c r="L86" s="1"/>
      <c r="M86" s="1"/>
      <c r="N86" s="1"/>
    </row>
    <row r="87" spans="1:14" ht="75" hidden="1">
      <c r="A87" s="6" t="s">
        <v>214</v>
      </c>
      <c r="B87" s="19">
        <v>103190</v>
      </c>
      <c r="C87" s="19" t="s">
        <v>138</v>
      </c>
      <c r="D87" s="58" t="s">
        <v>212</v>
      </c>
      <c r="E87" s="54" t="s">
        <v>12</v>
      </c>
      <c r="F87" s="55">
        <v>1</v>
      </c>
      <c r="G87" s="56">
        <v>4002.48</v>
      </c>
      <c r="H87" s="91">
        <f>H13*G87+G87</f>
        <v>4901.837256</v>
      </c>
      <c r="I87" s="57">
        <f t="shared" si="10"/>
        <v>4901.837256</v>
      </c>
      <c r="J87" s="1"/>
      <c r="K87" s="1"/>
      <c r="L87" s="1"/>
      <c r="M87" s="1"/>
      <c r="N87" s="1"/>
    </row>
    <row r="88" spans="1:14" ht="68.25" customHeight="1" hidden="1">
      <c r="A88" s="6" t="s">
        <v>215</v>
      </c>
      <c r="B88" s="19">
        <v>103187</v>
      </c>
      <c r="C88" s="19" t="s">
        <v>138</v>
      </c>
      <c r="D88" s="58" t="s">
        <v>213</v>
      </c>
      <c r="E88" s="54" t="s">
        <v>12</v>
      </c>
      <c r="F88" s="55">
        <v>1</v>
      </c>
      <c r="G88" s="56">
        <v>4791.22</v>
      </c>
      <c r="H88" s="91">
        <f>H13*G88+G88</f>
        <v>5867.807134000001</v>
      </c>
      <c r="I88" s="57">
        <f>H88*F88</f>
        <v>5867.807134000001</v>
      </c>
      <c r="J88" s="1"/>
      <c r="K88" s="1"/>
      <c r="L88" s="1"/>
      <c r="M88" s="1"/>
      <c r="N88" s="1"/>
    </row>
    <row r="89" spans="1:14" ht="32.25" customHeight="1">
      <c r="A89" s="138" t="s">
        <v>49</v>
      </c>
      <c r="B89" s="134"/>
      <c r="C89" s="134"/>
      <c r="D89" s="148" t="s">
        <v>216</v>
      </c>
      <c r="E89" s="143"/>
      <c r="F89" s="144"/>
      <c r="G89" s="145"/>
      <c r="H89" s="149"/>
      <c r="I89" s="146">
        <f>SUM(I90:I90)</f>
        <v>51322.60115339</v>
      </c>
      <c r="J89" s="1"/>
      <c r="K89" s="1"/>
      <c r="L89" s="1"/>
      <c r="M89" s="1"/>
      <c r="N89" s="154">
        <f>I89</f>
        <v>51322.60115339</v>
      </c>
    </row>
    <row r="90" spans="1:14" s="98" customFormat="1" ht="18" customHeight="1" hidden="1">
      <c r="A90" s="6" t="s">
        <v>50</v>
      </c>
      <c r="B90" s="1" t="s">
        <v>218</v>
      </c>
      <c r="C90" s="42" t="s">
        <v>10</v>
      </c>
      <c r="D90" s="1" t="s">
        <v>217</v>
      </c>
      <c r="E90" s="9" t="s">
        <v>19</v>
      </c>
      <c r="F90" s="55">
        <v>3101.87</v>
      </c>
      <c r="G90" s="56">
        <v>13.51</v>
      </c>
      <c r="H90" s="97">
        <f>G90*H13+G90</f>
        <v>16.545697</v>
      </c>
      <c r="I90" s="57">
        <f>H90*F90</f>
        <v>51322.60115339</v>
      </c>
      <c r="J90" s="153"/>
      <c r="K90" s="153"/>
      <c r="L90" s="153"/>
      <c r="M90" s="153"/>
      <c r="N90" s="153"/>
    </row>
    <row r="91" spans="1:14" ht="29.25" customHeight="1">
      <c r="A91" s="44"/>
      <c r="B91" s="45"/>
      <c r="C91" s="45"/>
      <c r="D91" s="155" t="s">
        <v>254</v>
      </c>
      <c r="E91" s="165" t="s">
        <v>72</v>
      </c>
      <c r="F91" s="165"/>
      <c r="G91" s="165"/>
      <c r="H91" s="165"/>
      <c r="I91" s="47">
        <f>I89+I76+I66+I38+I29+I24+I17</f>
        <v>420739.4726178856</v>
      </c>
      <c r="J91" s="140">
        <f>SUM(J17:J89)</f>
        <v>71742.57852604165</v>
      </c>
      <c r="K91" s="140">
        <f>SUM(K17:K89)</f>
        <v>81582.59452729387</v>
      </c>
      <c r="L91" s="140">
        <f>SUM(L17:L89)</f>
        <v>113382.65512551088</v>
      </c>
      <c r="M91" s="140">
        <f>SUM(M17:M89)</f>
        <v>50817.57351364923</v>
      </c>
      <c r="N91" s="140">
        <f>SUM(N17:N89)</f>
        <v>103214.07092539</v>
      </c>
    </row>
    <row r="93" spans="5:14" ht="15">
      <c r="E93" s="160"/>
      <c r="F93" s="160"/>
      <c r="G93" s="160"/>
      <c r="H93" s="160"/>
      <c r="I93" s="160"/>
      <c r="J93" s="160" t="s">
        <v>253</v>
      </c>
      <c r="K93" s="160"/>
      <c r="L93" s="160"/>
      <c r="M93" s="160"/>
      <c r="N93" s="160"/>
    </row>
    <row r="94" spans="5:14" ht="15">
      <c r="E94" s="133"/>
      <c r="G94" s="133"/>
      <c r="H94" s="133"/>
      <c r="I94" s="133"/>
      <c r="J94" s="133"/>
      <c r="K94" s="133"/>
      <c r="L94" s="133"/>
      <c r="M94" s="133"/>
      <c r="N94" s="133"/>
    </row>
    <row r="95" spans="10:14" ht="15">
      <c r="J95" s="17"/>
      <c r="K95" s="133"/>
      <c r="L95" s="17"/>
      <c r="M95" s="17"/>
      <c r="N95" s="17"/>
    </row>
    <row r="96" spans="5:14" ht="15">
      <c r="E96" s="160"/>
      <c r="F96" s="160"/>
      <c r="G96" s="160"/>
      <c r="H96" s="160"/>
      <c r="I96" s="160"/>
      <c r="J96" s="160" t="s">
        <v>73</v>
      </c>
      <c r="K96" s="160"/>
      <c r="L96" s="160"/>
      <c r="M96" s="160"/>
      <c r="N96" s="160"/>
    </row>
    <row r="97" spans="5:14" ht="15">
      <c r="E97" s="160"/>
      <c r="F97" s="160"/>
      <c r="G97" s="160"/>
      <c r="H97" s="160"/>
      <c r="I97" s="160"/>
      <c r="J97" s="160" t="s">
        <v>74</v>
      </c>
      <c r="K97" s="160"/>
      <c r="L97" s="160"/>
      <c r="M97" s="160"/>
      <c r="N97" s="160"/>
    </row>
    <row r="98" spans="5:14" ht="15">
      <c r="E98" s="160"/>
      <c r="F98" s="160"/>
      <c r="G98" s="160"/>
      <c r="H98" s="160"/>
      <c r="I98" s="160"/>
      <c r="J98" s="160" t="s">
        <v>75</v>
      </c>
      <c r="K98" s="160"/>
      <c r="L98" s="160"/>
      <c r="M98" s="160"/>
      <c r="N98" s="160"/>
    </row>
    <row r="99" spans="5:9" ht="15">
      <c r="E99" s="160"/>
      <c r="F99" s="160"/>
      <c r="G99" s="160"/>
      <c r="H99" s="160"/>
      <c r="I99" s="160"/>
    </row>
  </sheetData>
  <mergeCells count="14">
    <mergeCell ref="J93:N93"/>
    <mergeCell ref="J96:N96"/>
    <mergeCell ref="J97:N97"/>
    <mergeCell ref="J98:N98"/>
    <mergeCell ref="E96:I96"/>
    <mergeCell ref="E97:I97"/>
    <mergeCell ref="E98:I98"/>
    <mergeCell ref="E99:I99"/>
    <mergeCell ref="G5:G7"/>
    <mergeCell ref="A8:I8"/>
    <mergeCell ref="G9:G12"/>
    <mergeCell ref="B67:C67"/>
    <mergeCell ref="E91:H91"/>
    <mergeCell ref="E93:I93"/>
  </mergeCells>
  <conditionalFormatting sqref="A17:I17 A19:A20 I34:I35 E34:G35 I74:I75 F74:F75 E38:G39 I38:I39 E19:I20 C19:C20 E22:I22 C22 A22:A28 A60:A63 A38:A40 E67:F67 I67:I70 F68:F70 F80:G85 F87:G88 A55:A58 A80:A88 I80:I88 A42:A46 A67:A75 F72 I72 A33:A36 A65">
    <cfRule type="expression" priority="110" dxfId="1">
      <formula>IF($L17="I",TRUE,FALSE)</formula>
    </cfRule>
    <cfRule type="expression" priority="111" dxfId="0">
      <formula>IF($L17="T",TRUE,FALSE)</formula>
    </cfRule>
  </conditionalFormatting>
  <conditionalFormatting sqref="C17 C19:C20 C22">
    <cfRule type="expression" priority="109" dxfId="103">
      <formula>IF($L17="I",TRUE,FALSE)</formula>
    </cfRule>
  </conditionalFormatting>
  <conditionalFormatting sqref="A41">
    <cfRule type="expression" priority="107" dxfId="1">
      <formula>IF($L41="I",TRUE,FALSE)</formula>
    </cfRule>
    <cfRule type="expression" priority="108" dxfId="0">
      <formula>IF($L41="T",TRUE,FALSE)</formula>
    </cfRule>
  </conditionalFormatting>
  <conditionalFormatting sqref="A59 I59 E59:G59">
    <cfRule type="expression" priority="105" dxfId="1">
      <formula>IF($L59="I",TRUE,FALSE)</formula>
    </cfRule>
    <cfRule type="expression" priority="106" dxfId="0">
      <formula>IF($L59="T",TRUE,FALSE)</formula>
    </cfRule>
  </conditionalFormatting>
  <conditionalFormatting sqref="E29:G29 I29 A29">
    <cfRule type="expression" priority="103" dxfId="1">
      <formula>IF($L29="I",TRUE,FALSE)</formula>
    </cfRule>
    <cfRule type="expression" priority="104" dxfId="0">
      <formula>IF($L29="T",TRUE,FALSE)</formula>
    </cfRule>
  </conditionalFormatting>
  <conditionalFormatting sqref="A66 I66 E66:G66">
    <cfRule type="expression" priority="101" dxfId="1">
      <formula>IF($L66="I",TRUE,FALSE)</formula>
    </cfRule>
    <cfRule type="expression" priority="102" dxfId="0">
      <formula>IF($L66="T",TRUE,FALSE)</formula>
    </cfRule>
  </conditionalFormatting>
  <conditionalFormatting sqref="A76 I76 E76:G76">
    <cfRule type="expression" priority="99" dxfId="1">
      <formula>IF($L76="I",TRUE,FALSE)</formula>
    </cfRule>
    <cfRule type="expression" priority="100" dxfId="0">
      <formula>IF($L76="T",TRUE,FALSE)</formula>
    </cfRule>
  </conditionalFormatting>
  <conditionalFormatting sqref="A89:A90 I89:I90 E89:G89 F90:G90">
    <cfRule type="expression" priority="97" dxfId="1">
      <formula>IF($L89="I",TRUE,FALSE)</formula>
    </cfRule>
    <cfRule type="expression" priority="98" dxfId="0">
      <formula>IF($L89="T",TRUE,FALSE)</formula>
    </cfRule>
  </conditionalFormatting>
  <conditionalFormatting sqref="I18 E18:G18 A18">
    <cfRule type="expression" priority="95" dxfId="1">
      <formula>IF($L18="I",TRUE,FALSE)</formula>
    </cfRule>
    <cfRule type="expression" priority="96" dxfId="0">
      <formula>IF($L18="T",TRUE,FALSE)</formula>
    </cfRule>
  </conditionalFormatting>
  <conditionalFormatting sqref="I21 E21:G21 A21">
    <cfRule type="expression" priority="93" dxfId="1">
      <formula>IF($L21="I",TRUE,FALSE)</formula>
    </cfRule>
    <cfRule type="expression" priority="94" dxfId="0">
      <formula>IF($L21="T",TRUE,FALSE)</formula>
    </cfRule>
  </conditionalFormatting>
  <conditionalFormatting sqref="E24:G24 I24">
    <cfRule type="expression" priority="91" dxfId="1">
      <formula>IF($L24="I",TRUE,FALSE)</formula>
    </cfRule>
    <cfRule type="expression" priority="92" dxfId="0">
      <formula>IF($L24="T",TRUE,FALSE)</formula>
    </cfRule>
  </conditionalFormatting>
  <conditionalFormatting sqref="C25:C28">
    <cfRule type="expression" priority="89" dxfId="1">
      <formula>IF($L25="I",TRUE,FALSE)</formula>
    </cfRule>
    <cfRule type="expression" priority="90" dxfId="0">
      <formula>IF($L25="T",TRUE,FALSE)</formula>
    </cfRule>
  </conditionalFormatting>
  <conditionalFormatting sqref="C25:C28">
    <cfRule type="expression" priority="88" dxfId="103">
      <formula>IF($L25="I",TRUE,FALSE)</formula>
    </cfRule>
  </conditionalFormatting>
  <conditionalFormatting sqref="F86:G86">
    <cfRule type="expression" priority="86" dxfId="1">
      <formula>IF($L86="I",TRUE,FALSE)</formula>
    </cfRule>
    <cfRule type="expression" priority="87" dxfId="0">
      <formula>IF($L86="T",TRUE,FALSE)</formula>
    </cfRule>
  </conditionalFormatting>
  <conditionalFormatting sqref="F73 I73">
    <cfRule type="expression" priority="84" dxfId="1">
      <formula>IF($L73="I",TRUE,FALSE)</formula>
    </cfRule>
    <cfRule type="expression" priority="85" dxfId="0">
      <formula>IF($L73="T",TRUE,FALSE)</formula>
    </cfRule>
  </conditionalFormatting>
  <conditionalFormatting sqref="I36 E36:G36">
    <cfRule type="expression" priority="82" dxfId="1">
      <formula>IF($L36="I",TRUE,FALSE)</formula>
    </cfRule>
    <cfRule type="expression" priority="83" dxfId="0">
      <formula>IF($L36="T",TRUE,FALSE)</formula>
    </cfRule>
  </conditionalFormatting>
  <conditionalFormatting sqref="E77:G77 I77:I79 A77:A79 F78:G79">
    <cfRule type="expression" priority="80" dxfId="1">
      <formula>IF($L77="I",TRUE,FALSE)</formula>
    </cfRule>
    <cfRule type="expression" priority="81" dxfId="0">
      <formula>IF($L77="T",TRUE,FALSE)</formula>
    </cfRule>
  </conditionalFormatting>
  <conditionalFormatting sqref="E90">
    <cfRule type="expression" priority="78" dxfId="1">
      <formula>IF($L90="I",TRUE,FALSE)</formula>
    </cfRule>
    <cfRule type="expression" priority="79" dxfId="0">
      <formula>IF($L90="T",TRUE,FALSE)</formula>
    </cfRule>
  </conditionalFormatting>
  <conditionalFormatting sqref="I23 E23:G23">
    <cfRule type="expression" priority="76" dxfId="1">
      <formula>IF($L23="I",TRUE,FALSE)</formula>
    </cfRule>
    <cfRule type="expression" priority="77" dxfId="0">
      <formula>IF($L23="T",TRUE,FALSE)</formula>
    </cfRule>
  </conditionalFormatting>
  <conditionalFormatting sqref="B40:D40">
    <cfRule type="expression" priority="74" dxfId="1">
      <formula>IF($L40="I",TRUE,FALSE)</formula>
    </cfRule>
    <cfRule type="expression" priority="75" dxfId="0">
      <formula>IF($L40="T",TRUE,FALSE)</formula>
    </cfRule>
  </conditionalFormatting>
  <conditionalFormatting sqref="C40">
    <cfRule type="expression" priority="73" dxfId="103">
      <formula>IF($L40="I",TRUE,FALSE)</formula>
    </cfRule>
  </conditionalFormatting>
  <conditionalFormatting sqref="B41:D42 C43">
    <cfRule type="expression" priority="71" dxfId="1">
      <formula>IF($L41="I",TRUE,FALSE)</formula>
    </cfRule>
    <cfRule type="expression" priority="72" dxfId="0">
      <formula>IF($L41="T",TRUE,FALSE)</formula>
    </cfRule>
  </conditionalFormatting>
  <conditionalFormatting sqref="C41:C43">
    <cfRule type="expression" priority="70" dxfId="103">
      <formula>IF($L41="I",TRUE,FALSE)</formula>
    </cfRule>
  </conditionalFormatting>
  <conditionalFormatting sqref="B44:D46">
    <cfRule type="expression" priority="68" dxfId="1">
      <formula>IF($L44="I",TRUE,FALSE)</formula>
    </cfRule>
    <cfRule type="expression" priority="69" dxfId="0">
      <formula>IF($L44="T",TRUE,FALSE)</formula>
    </cfRule>
  </conditionalFormatting>
  <conditionalFormatting sqref="C44:C46">
    <cfRule type="expression" priority="67" dxfId="103">
      <formula>IF($L44="I",TRUE,FALSE)</formula>
    </cfRule>
  </conditionalFormatting>
  <conditionalFormatting sqref="A47 E47:G47 I47">
    <cfRule type="expression" priority="65" dxfId="1">
      <formula>IF($L47="I",TRUE,FALSE)</formula>
    </cfRule>
    <cfRule type="expression" priority="66" dxfId="0">
      <formula>IF($L47="T",TRUE,FALSE)</formula>
    </cfRule>
  </conditionalFormatting>
  <conditionalFormatting sqref="A48:A50">
    <cfRule type="expression" priority="61" dxfId="1">
      <formula>IF($L48="I",TRUE,FALSE)</formula>
    </cfRule>
    <cfRule type="expression" priority="62" dxfId="0">
      <formula>IF($L48="T",TRUE,FALSE)</formula>
    </cfRule>
  </conditionalFormatting>
  <conditionalFormatting sqref="A51">
    <cfRule type="expression" priority="63" dxfId="1">
      <formula>IF($L51="I",TRUE,FALSE)</formula>
    </cfRule>
    <cfRule type="expression" priority="64" dxfId="0">
      <formula>IF($L51="T",TRUE,FALSE)</formula>
    </cfRule>
  </conditionalFormatting>
  <conditionalFormatting sqref="A52 E52:G52 I52">
    <cfRule type="expression" priority="53" dxfId="1">
      <formula>IF($L52="I",TRUE,FALSE)</formula>
    </cfRule>
    <cfRule type="expression" priority="54" dxfId="0">
      <formula>IF($L52="T",TRUE,FALSE)</formula>
    </cfRule>
  </conditionalFormatting>
  <conditionalFormatting sqref="B48:D48 C49">
    <cfRule type="expression" priority="59" dxfId="1">
      <formula>IF($L48="I",TRUE,FALSE)</formula>
    </cfRule>
    <cfRule type="expression" priority="60" dxfId="0">
      <formula>IF($L48="T",TRUE,FALSE)</formula>
    </cfRule>
  </conditionalFormatting>
  <conditionalFormatting sqref="C48:C49">
    <cfRule type="expression" priority="58" dxfId="103">
      <formula>IF($L48="I",TRUE,FALSE)</formula>
    </cfRule>
  </conditionalFormatting>
  <conditionalFormatting sqref="B50:D51">
    <cfRule type="expression" priority="56" dxfId="1">
      <formula>IF($L50="I",TRUE,FALSE)</formula>
    </cfRule>
    <cfRule type="expression" priority="57" dxfId="0">
      <formula>IF($L50="T",TRUE,FALSE)</formula>
    </cfRule>
  </conditionalFormatting>
  <conditionalFormatting sqref="C50:C51">
    <cfRule type="expression" priority="55" dxfId="103">
      <formula>IF($L50="I",TRUE,FALSE)</formula>
    </cfRule>
  </conditionalFormatting>
  <conditionalFormatting sqref="E54:G54 I54">
    <cfRule type="expression" priority="45" dxfId="1">
      <formula>IF($L54="I",TRUE,FALSE)</formula>
    </cfRule>
    <cfRule type="expression" priority="46" dxfId="0">
      <formula>IF($L54="T",TRUE,FALSE)</formula>
    </cfRule>
  </conditionalFormatting>
  <conditionalFormatting sqref="I55:I56 E55:G56">
    <cfRule type="expression" priority="47" dxfId="1">
      <formula>IF($L55="I",TRUE,FALSE)</formula>
    </cfRule>
    <cfRule type="expression" priority="48" dxfId="0">
      <formula>IF($L55="T",TRUE,FALSE)</formula>
    </cfRule>
  </conditionalFormatting>
  <conditionalFormatting sqref="A53:A54">
    <cfRule type="expression" priority="51" dxfId="1">
      <formula>IF($L53="I",TRUE,FALSE)</formula>
    </cfRule>
    <cfRule type="expression" priority="52" dxfId="0">
      <formula>IF($L53="T",TRUE,FALSE)</formula>
    </cfRule>
  </conditionalFormatting>
  <conditionalFormatting sqref="E53:G53 I53">
    <cfRule type="expression" priority="49" dxfId="1">
      <formula>IF($L53="I",TRUE,FALSE)</formula>
    </cfRule>
    <cfRule type="expression" priority="50" dxfId="0">
      <formula>IF($L53="T",TRUE,FALSE)</formula>
    </cfRule>
  </conditionalFormatting>
  <conditionalFormatting sqref="A30:A33">
    <cfRule type="expression" priority="43" dxfId="1">
      <formula>IF($L30="I",TRUE,FALSE)</formula>
    </cfRule>
    <cfRule type="expression" priority="44" dxfId="0">
      <formula>IF($L30="T",TRUE,FALSE)</formula>
    </cfRule>
  </conditionalFormatting>
  <conditionalFormatting sqref="I33 E33:G33">
    <cfRule type="expression" priority="41" dxfId="1">
      <formula>IF($L33="I",TRUE,FALSE)</formula>
    </cfRule>
    <cfRule type="expression" priority="42" dxfId="0">
      <formula>IF($L33="T",TRUE,FALSE)</formula>
    </cfRule>
  </conditionalFormatting>
  <conditionalFormatting sqref="B30:D30">
    <cfRule type="expression" priority="39" dxfId="1">
      <formula>IF($L30="I",TRUE,FALSE)</formula>
    </cfRule>
    <cfRule type="expression" priority="40" dxfId="0">
      <formula>IF($L30="T",TRUE,FALSE)</formula>
    </cfRule>
  </conditionalFormatting>
  <conditionalFormatting sqref="C30">
    <cfRule type="expression" priority="38" dxfId="103">
      <formula>IF($L30="I",TRUE,FALSE)</formula>
    </cfRule>
  </conditionalFormatting>
  <conditionalFormatting sqref="B31:D31">
    <cfRule type="expression" priority="36" dxfId="1">
      <formula>IF($L31="I",TRUE,FALSE)</formula>
    </cfRule>
    <cfRule type="expression" priority="37" dxfId="0">
      <formula>IF($L31="T",TRUE,FALSE)</formula>
    </cfRule>
  </conditionalFormatting>
  <conditionalFormatting sqref="C31">
    <cfRule type="expression" priority="35" dxfId="103">
      <formula>IF($L31="I",TRUE,FALSE)</formula>
    </cfRule>
  </conditionalFormatting>
  <conditionalFormatting sqref="A37">
    <cfRule type="expression" priority="33" dxfId="1">
      <formula>IF($L37="I",TRUE,FALSE)</formula>
    </cfRule>
    <cfRule type="expression" priority="34" dxfId="0">
      <formula>IF($L37="T",TRUE,FALSE)</formula>
    </cfRule>
  </conditionalFormatting>
  <conditionalFormatting sqref="I37 E37:G37">
    <cfRule type="expression" priority="31" dxfId="1">
      <formula>IF($L37="I",TRUE,FALSE)</formula>
    </cfRule>
    <cfRule type="expression" priority="32" dxfId="0">
      <formula>IF($L37="T",TRUE,FALSE)</formula>
    </cfRule>
  </conditionalFormatting>
  <conditionalFormatting sqref="E78:E81">
    <cfRule type="expression" priority="29" dxfId="1">
      <formula>IF($L78="I",TRUE,FALSE)</formula>
    </cfRule>
    <cfRule type="expression" priority="30" dxfId="0">
      <formula>IF($L78="T",TRUE,FALSE)</formula>
    </cfRule>
  </conditionalFormatting>
  <conditionalFormatting sqref="E82:E88">
    <cfRule type="expression" priority="27" dxfId="1">
      <formula>IF($L82="I",TRUE,FALSE)</formula>
    </cfRule>
    <cfRule type="expression" priority="28" dxfId="0">
      <formula>IF($L82="T",TRUE,FALSE)</formula>
    </cfRule>
  </conditionalFormatting>
  <conditionalFormatting sqref="C58">
    <cfRule type="expression" priority="25" dxfId="1">
      <formula>IF($L58="I",TRUE,FALSE)</formula>
    </cfRule>
    <cfRule type="expression" priority="26" dxfId="0">
      <formula>IF($L58="T",TRUE,FALSE)</formula>
    </cfRule>
  </conditionalFormatting>
  <conditionalFormatting sqref="C58">
    <cfRule type="expression" priority="24" dxfId="103">
      <formula>IF($L58="I",TRUE,FALSE)</formula>
    </cfRule>
  </conditionalFormatting>
  <conditionalFormatting sqref="A90">
    <cfRule type="expression" priority="112" dxfId="1">
      <formula>IF(#REF!="I",TRUE,FALSE)</formula>
    </cfRule>
    <cfRule type="expression" priority="113" dxfId="0">
      <formula>IF(#REF!="T",TRUE,FALSE)</formula>
    </cfRule>
  </conditionalFormatting>
  <conditionalFormatting sqref="E68 E72:E74">
    <cfRule type="expression" priority="22" dxfId="1">
      <formula>IF($L68="I",TRUE,FALSE)</formula>
    </cfRule>
    <cfRule type="expression" priority="23" dxfId="0">
      <formula>IF($L68="T",TRUE,FALSE)</formula>
    </cfRule>
  </conditionalFormatting>
  <conditionalFormatting sqref="B69:D69">
    <cfRule type="expression" priority="20" dxfId="1">
      <formula>IF($L69="I",TRUE,FALSE)</formula>
    </cfRule>
    <cfRule type="expression" priority="21" dxfId="0">
      <formula>IF($L69="T",TRUE,FALSE)</formula>
    </cfRule>
  </conditionalFormatting>
  <conditionalFormatting sqref="C69">
    <cfRule type="expression" priority="19" dxfId="103">
      <formula>IF($L69="I",TRUE,FALSE)</formula>
    </cfRule>
  </conditionalFormatting>
  <conditionalFormatting sqref="B70:D70">
    <cfRule type="expression" priority="17" dxfId="1">
      <formula>IF($L70="I",TRUE,FALSE)</formula>
    </cfRule>
    <cfRule type="expression" priority="18" dxfId="0">
      <formula>IF($L70="T",TRUE,FALSE)</formula>
    </cfRule>
  </conditionalFormatting>
  <conditionalFormatting sqref="C70">
    <cfRule type="expression" priority="16" dxfId="103">
      <formula>IF($L70="I",TRUE,FALSE)</formula>
    </cfRule>
  </conditionalFormatting>
  <conditionalFormatting sqref="C72:C75">
    <cfRule type="expression" priority="14" dxfId="1">
      <formula>IF($L72="I",TRUE,FALSE)</formula>
    </cfRule>
    <cfRule type="expression" priority="15" dxfId="0">
      <formula>IF($L72="T",TRUE,FALSE)</formula>
    </cfRule>
  </conditionalFormatting>
  <conditionalFormatting sqref="C72:C75">
    <cfRule type="expression" priority="13" dxfId="103">
      <formula>IF($L72="I",TRUE,FALSE)</formula>
    </cfRule>
  </conditionalFormatting>
  <conditionalFormatting sqref="G68 G72:G74">
    <cfRule type="expression" priority="11" dxfId="1">
      <formula>IF($L68="I",TRUE,FALSE)</formula>
    </cfRule>
    <cfRule type="expression" priority="12" dxfId="0">
      <formula>IF($L68="T",TRUE,FALSE)</formula>
    </cfRule>
  </conditionalFormatting>
  <conditionalFormatting sqref="A64 I64 E64:G64">
    <cfRule type="expression" priority="9" dxfId="1">
      <formula>IF($L64="I",TRUE,FALSE)</formula>
    </cfRule>
    <cfRule type="expression" priority="10" dxfId="0">
      <formula>IF($L64="T",TRUE,FALSE)</formula>
    </cfRule>
  </conditionalFormatting>
  <conditionalFormatting sqref="C71">
    <cfRule type="expression" priority="7" dxfId="1">
      <formula>IF($L71="I",TRUE,FALSE)</formula>
    </cfRule>
    <cfRule type="expression" priority="8" dxfId="0">
      <formula>IF($L71="T",TRUE,FALSE)</formula>
    </cfRule>
  </conditionalFormatting>
  <conditionalFormatting sqref="C71">
    <cfRule type="expression" priority="6" dxfId="103">
      <formula>IF($L71="I",TRUE,FALSE)</formula>
    </cfRule>
  </conditionalFormatting>
  <conditionalFormatting sqref="C32">
    <cfRule type="expression" priority="4" dxfId="1">
      <formula>IF($L32="I",TRUE,FALSE)</formula>
    </cfRule>
    <cfRule type="expression" priority="5" dxfId="0">
      <formula>IF($L32="T",TRUE,FALSE)</formula>
    </cfRule>
  </conditionalFormatting>
  <conditionalFormatting sqref="C32">
    <cfRule type="expression" priority="3" dxfId="103">
      <formula>IF($L32="I",TRUE,FALSE)</formula>
    </cfRule>
  </conditionalFormatting>
  <conditionalFormatting sqref="A36">
    <cfRule type="expression" priority="1" dxfId="1">
      <formula>IF($L36="I",TRUE,FALSE)</formula>
    </cfRule>
    <cfRule type="expression" priority="2" dxfId="0">
      <formula>IF($L36="T",TRUE,FALSE)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8"/>
  <sheetViews>
    <sheetView showGridLines="0" tabSelected="1" zoomScale="110" zoomScaleNormal="110" workbookViewId="0" topLeftCell="A1">
      <selection activeCell="G20" sqref="G20"/>
    </sheetView>
  </sheetViews>
  <sheetFormatPr defaultColWidth="9.140625" defaultRowHeight="15"/>
  <cols>
    <col min="1" max="1" width="9.140625" style="17" customWidth="1"/>
    <col min="2" max="2" width="10.8515625" style="21" bestFit="1" customWidth="1"/>
    <col min="3" max="3" width="10.8515625" style="21" customWidth="1"/>
    <col min="4" max="4" width="54.8515625" style="17" customWidth="1"/>
    <col min="5" max="5" width="9.140625" style="17" customWidth="1"/>
    <col min="6" max="6" width="9.140625" style="21" customWidth="1"/>
    <col min="7" max="7" width="14.57421875" style="17" customWidth="1"/>
    <col min="8" max="8" width="14.8515625" style="17" customWidth="1"/>
    <col min="9" max="9" width="16.421875" style="17" customWidth="1"/>
    <col min="11" max="11" width="12.28125" style="0" bestFit="1" customWidth="1"/>
  </cols>
  <sheetData>
    <row r="1" ht="15"/>
    <row r="2" ht="15"/>
    <row r="3" ht="15"/>
    <row r="4" ht="15"/>
    <row r="5" spans="1:10" ht="27" customHeight="1">
      <c r="A5" s="99"/>
      <c r="B5" s="86"/>
      <c r="C5" s="86"/>
      <c r="D5" s="100"/>
      <c r="E5" s="101"/>
      <c r="F5" s="86"/>
      <c r="G5" s="161"/>
      <c r="H5" s="102"/>
      <c r="I5" s="103"/>
      <c r="J5" s="48"/>
    </row>
    <row r="6" spans="1:10" ht="15">
      <c r="A6" s="99"/>
      <c r="B6" s="86"/>
      <c r="C6" s="86"/>
      <c r="D6" s="100"/>
      <c r="E6" s="101"/>
      <c r="F6" s="86"/>
      <c r="G6" s="161"/>
      <c r="H6" s="102"/>
      <c r="I6" s="104"/>
      <c r="J6" s="49"/>
    </row>
    <row r="7" spans="1:10" ht="15">
      <c r="A7" s="99"/>
      <c r="B7" s="86"/>
      <c r="C7" s="86"/>
      <c r="D7" s="100"/>
      <c r="E7" s="101"/>
      <c r="F7" s="86"/>
      <c r="G7" s="161"/>
      <c r="H7" s="105"/>
      <c r="I7" s="106"/>
      <c r="J7" s="50"/>
    </row>
    <row r="8" spans="1:10" s="124" customFormat="1" ht="41.25" customHeight="1">
      <c r="A8" s="162" t="s">
        <v>89</v>
      </c>
      <c r="B8" s="162"/>
      <c r="C8" s="162"/>
      <c r="D8" s="162"/>
      <c r="E8" s="162"/>
      <c r="F8" s="162"/>
      <c r="G8" s="162"/>
      <c r="H8" s="162"/>
      <c r="I8" s="162"/>
      <c r="J8" s="123"/>
    </row>
    <row r="9" spans="1:10" ht="15.75">
      <c r="A9" s="156" t="s">
        <v>266</v>
      </c>
      <c r="B9" s="157" t="s">
        <v>268</v>
      </c>
      <c r="C9" s="51"/>
      <c r="D9" s="51"/>
      <c r="E9" s="109"/>
      <c r="F9" s="87"/>
      <c r="G9" s="163" t="s">
        <v>56</v>
      </c>
      <c r="H9" s="110" t="s">
        <v>265</v>
      </c>
      <c r="I9" s="111"/>
      <c r="J9" s="28"/>
    </row>
    <row r="10" spans="1:10" ht="15">
      <c r="A10" s="156" t="s">
        <v>267</v>
      </c>
      <c r="B10" s="157" t="s">
        <v>271</v>
      </c>
      <c r="C10" s="51"/>
      <c r="D10" s="51"/>
      <c r="E10" s="113"/>
      <c r="F10" s="114"/>
      <c r="G10" s="163"/>
      <c r="H10" s="115" t="s">
        <v>269</v>
      </c>
      <c r="I10" s="111"/>
      <c r="J10" s="28"/>
    </row>
    <row r="11" spans="1:10" ht="15">
      <c r="A11" s="51"/>
      <c r="B11" s="157"/>
      <c r="C11" s="51"/>
      <c r="D11" s="51"/>
      <c r="E11" s="101"/>
      <c r="F11" s="117"/>
      <c r="G11" s="118" t="s">
        <v>270</v>
      </c>
      <c r="H11" s="119">
        <v>0.2034</v>
      </c>
      <c r="I11" s="101"/>
      <c r="J11" s="29"/>
    </row>
    <row r="12" spans="1:10" ht="15">
      <c r="A12" s="158"/>
      <c r="B12" s="159"/>
      <c r="C12" s="135"/>
      <c r="D12"/>
      <c r="E12" s="101"/>
      <c r="F12" s="117"/>
      <c r="G12" s="118" t="s">
        <v>0</v>
      </c>
      <c r="H12" s="120">
        <v>44927</v>
      </c>
      <c r="I12" s="101"/>
      <c r="J12" s="29"/>
    </row>
    <row r="14" spans="1:9" ht="15">
      <c r="A14" s="121" t="s">
        <v>2</v>
      </c>
      <c r="B14" s="90" t="s">
        <v>3</v>
      </c>
      <c r="C14" s="90" t="s">
        <v>83</v>
      </c>
      <c r="D14" s="121" t="s">
        <v>4</v>
      </c>
      <c r="E14" s="121" t="s">
        <v>5</v>
      </c>
      <c r="F14" s="90" t="s">
        <v>6</v>
      </c>
      <c r="G14" s="121" t="s">
        <v>7</v>
      </c>
      <c r="H14" s="121" t="s">
        <v>8</v>
      </c>
      <c r="I14" s="121" t="s">
        <v>9</v>
      </c>
    </row>
    <row r="15" spans="1:9" ht="31.5" customHeight="1">
      <c r="A15" s="73" t="s">
        <v>91</v>
      </c>
      <c r="B15" s="74"/>
      <c r="C15" s="74"/>
      <c r="D15" s="75" t="s">
        <v>257</v>
      </c>
      <c r="E15" s="76"/>
      <c r="F15" s="77"/>
      <c r="G15" s="78"/>
      <c r="H15" s="79"/>
      <c r="I15" s="80">
        <f>SUM(I16:I19)</f>
        <v>12937.512719999999</v>
      </c>
    </row>
    <row r="16" spans="1:9" ht="15.75" customHeight="1">
      <c r="A16" s="6" t="s">
        <v>92</v>
      </c>
      <c r="B16" s="19" t="s">
        <v>200</v>
      </c>
      <c r="C16" s="19" t="s">
        <v>10</v>
      </c>
      <c r="D16" s="1" t="s">
        <v>199</v>
      </c>
      <c r="E16" s="9" t="s">
        <v>12</v>
      </c>
      <c r="F16" s="10">
        <v>1</v>
      </c>
      <c r="G16" s="11">
        <v>5442.27</v>
      </c>
      <c r="H16" s="12">
        <f>G16*H11+G16</f>
        <v>6549.227718</v>
      </c>
      <c r="I16" s="13">
        <f>H16*F16</f>
        <v>6549.227718</v>
      </c>
    </row>
    <row r="17" spans="1:9" ht="15.75" customHeight="1">
      <c r="A17" s="6" t="s">
        <v>93</v>
      </c>
      <c r="B17" s="19" t="s">
        <v>202</v>
      </c>
      <c r="C17" s="19" t="s">
        <v>10</v>
      </c>
      <c r="D17" s="1" t="s">
        <v>201</v>
      </c>
      <c r="E17" s="9" t="s">
        <v>12</v>
      </c>
      <c r="F17" s="10">
        <v>1</v>
      </c>
      <c r="G17" s="11">
        <v>1792.31</v>
      </c>
      <c r="H17" s="12">
        <f>G17*H11+G17</f>
        <v>2156.865854</v>
      </c>
      <c r="I17" s="13">
        <f>H17*F17</f>
        <v>2156.865854</v>
      </c>
    </row>
    <row r="18" spans="1:9" ht="15">
      <c r="A18" s="6" t="s">
        <v>94</v>
      </c>
      <c r="B18" s="19" t="s">
        <v>204</v>
      </c>
      <c r="C18" s="19" t="s">
        <v>10</v>
      </c>
      <c r="D18" s="1" t="s">
        <v>203</v>
      </c>
      <c r="E18" s="9" t="s">
        <v>12</v>
      </c>
      <c r="F18" s="10">
        <v>1</v>
      </c>
      <c r="G18" s="11">
        <v>1508.06</v>
      </c>
      <c r="H18" s="12">
        <f>H11*G18+G18</f>
        <v>1814.7994039999999</v>
      </c>
      <c r="I18" s="13">
        <f>F18*H18</f>
        <v>1814.7994039999999</v>
      </c>
    </row>
    <row r="19" spans="1:9" ht="15">
      <c r="A19" s="6" t="s">
        <v>95</v>
      </c>
      <c r="B19" s="19" t="s">
        <v>206</v>
      </c>
      <c r="C19" s="19" t="s">
        <v>10</v>
      </c>
      <c r="D19" s="1" t="s">
        <v>205</v>
      </c>
      <c r="E19" s="9" t="s">
        <v>12</v>
      </c>
      <c r="F19" s="10">
        <v>1</v>
      </c>
      <c r="G19" s="11">
        <v>2008.16</v>
      </c>
      <c r="H19" s="12">
        <f>H11*G19+G19</f>
        <v>2416.619744</v>
      </c>
      <c r="I19" s="13">
        <f>H19*F19</f>
        <v>2416.619744</v>
      </c>
    </row>
    <row r="20" spans="1:9" ht="31.5" customHeight="1">
      <c r="A20" s="73" t="s">
        <v>76</v>
      </c>
      <c r="B20" s="74"/>
      <c r="C20" s="74"/>
      <c r="D20" s="75" t="s">
        <v>258</v>
      </c>
      <c r="E20" s="76"/>
      <c r="F20" s="77"/>
      <c r="G20" s="78"/>
      <c r="H20" s="79"/>
      <c r="I20" s="80">
        <f>SUM(I21:I29)</f>
        <v>33972.535564</v>
      </c>
    </row>
    <row r="21" spans="1:9" ht="62.25" customHeight="1">
      <c r="A21" s="6" t="s">
        <v>15</v>
      </c>
      <c r="B21" s="19">
        <v>103189</v>
      </c>
      <c r="C21" s="19" t="s">
        <v>138</v>
      </c>
      <c r="D21" s="3" t="s">
        <v>207</v>
      </c>
      <c r="E21" s="9" t="s">
        <v>12</v>
      </c>
      <c r="F21" s="10">
        <v>1</v>
      </c>
      <c r="G21" s="11">
        <v>2581.8</v>
      </c>
      <c r="H21" s="12">
        <f>H11*G21+G21</f>
        <v>3106.9381200000003</v>
      </c>
      <c r="I21" s="13">
        <f>H21*F21</f>
        <v>3106.9381200000003</v>
      </c>
    </row>
    <row r="22" spans="1:9" ht="60">
      <c r="A22" s="6" t="s">
        <v>16</v>
      </c>
      <c r="B22" s="19">
        <v>103192</v>
      </c>
      <c r="C22" s="19" t="s">
        <v>138</v>
      </c>
      <c r="D22" s="3" t="s">
        <v>208</v>
      </c>
      <c r="E22" s="9" t="s">
        <v>12</v>
      </c>
      <c r="F22" s="10">
        <v>1</v>
      </c>
      <c r="G22" s="11">
        <v>2480.8</v>
      </c>
      <c r="H22" s="12">
        <f>H11*G22+G22</f>
        <v>2985.3947200000002</v>
      </c>
      <c r="I22" s="13">
        <f>H22*F22</f>
        <v>2985.3947200000002</v>
      </c>
    </row>
    <row r="23" spans="1:9" ht="75">
      <c r="A23" s="6" t="s">
        <v>17</v>
      </c>
      <c r="B23" s="19">
        <v>103193</v>
      </c>
      <c r="C23" s="19" t="s">
        <v>138</v>
      </c>
      <c r="D23" s="3" t="s">
        <v>209</v>
      </c>
      <c r="E23" s="9" t="s">
        <v>12</v>
      </c>
      <c r="F23" s="10">
        <v>1</v>
      </c>
      <c r="G23" s="11">
        <v>1910.03</v>
      </c>
      <c r="H23" s="12">
        <f>H11*G23+G23</f>
        <v>2298.5301019999997</v>
      </c>
      <c r="I23" s="13">
        <f>H23*F23</f>
        <v>2298.5301019999997</v>
      </c>
    </row>
    <row r="24" spans="1:9" ht="60">
      <c r="A24" s="53" t="s">
        <v>18</v>
      </c>
      <c r="B24" s="19">
        <v>103194</v>
      </c>
      <c r="C24" s="19" t="s">
        <v>138</v>
      </c>
      <c r="D24" s="3" t="s">
        <v>210</v>
      </c>
      <c r="E24" s="9" t="s">
        <v>12</v>
      </c>
      <c r="F24" s="10">
        <v>1</v>
      </c>
      <c r="G24" s="11">
        <v>2752.51</v>
      </c>
      <c r="H24" s="12">
        <f>H11*G24+G24</f>
        <v>3312.370534</v>
      </c>
      <c r="I24" s="13">
        <f>H24*F24</f>
        <v>3312.370534</v>
      </c>
    </row>
    <row r="25" spans="1:9" ht="60">
      <c r="A25" s="53" t="s">
        <v>259</v>
      </c>
      <c r="B25" s="19">
        <v>103191</v>
      </c>
      <c r="C25" s="19" t="s">
        <v>138</v>
      </c>
      <c r="D25" s="3" t="s">
        <v>211</v>
      </c>
      <c r="E25" s="9" t="s">
        <v>12</v>
      </c>
      <c r="F25" s="10">
        <v>1</v>
      </c>
      <c r="G25" s="11">
        <v>2329.94</v>
      </c>
      <c r="H25" s="12">
        <f>H11*G25+G25</f>
        <v>2803.849796</v>
      </c>
      <c r="I25" s="13">
        <f aca="true" t="shared" si="0" ref="I25:I26">H25*F25</f>
        <v>2803.849796</v>
      </c>
    </row>
    <row r="26" spans="1:9" ht="60">
      <c r="A26" s="6" t="s">
        <v>260</v>
      </c>
      <c r="B26" s="19">
        <v>103190</v>
      </c>
      <c r="C26" s="19" t="s">
        <v>138</v>
      </c>
      <c r="D26" s="3" t="s">
        <v>212</v>
      </c>
      <c r="E26" s="9" t="s">
        <v>12</v>
      </c>
      <c r="F26" s="10">
        <v>1</v>
      </c>
      <c r="G26" s="24">
        <v>4002.48</v>
      </c>
      <c r="H26" s="25">
        <f>H11*G26+G26</f>
        <v>4816.584432</v>
      </c>
      <c r="I26" s="26">
        <f t="shared" si="0"/>
        <v>4816.584432</v>
      </c>
    </row>
    <row r="27" spans="1:9" ht="68.25" customHeight="1">
      <c r="A27" s="6" t="s">
        <v>261</v>
      </c>
      <c r="B27" s="19">
        <v>103187</v>
      </c>
      <c r="C27" s="19" t="s">
        <v>138</v>
      </c>
      <c r="D27" s="3" t="s">
        <v>213</v>
      </c>
      <c r="E27" s="9" t="s">
        <v>12</v>
      </c>
      <c r="F27" s="10">
        <v>1</v>
      </c>
      <c r="G27" s="11">
        <v>4791.22</v>
      </c>
      <c r="H27" s="12">
        <f>H11*G27+G27</f>
        <v>5765.754148</v>
      </c>
      <c r="I27" s="13">
        <f>H27*F27</f>
        <v>5765.754148</v>
      </c>
    </row>
    <row r="28" spans="1:9" ht="82.5" customHeight="1">
      <c r="A28" s="6" t="s">
        <v>262</v>
      </c>
      <c r="B28" s="141">
        <v>103188</v>
      </c>
      <c r="C28" s="141" t="s">
        <v>138</v>
      </c>
      <c r="D28" s="3" t="s">
        <v>255</v>
      </c>
      <c r="E28" s="9" t="s">
        <v>12</v>
      </c>
      <c r="F28" s="10">
        <v>1</v>
      </c>
      <c r="G28" s="11">
        <v>5203.94</v>
      </c>
      <c r="H28" s="12">
        <f>G28*H11+G28</f>
        <v>6262.421396</v>
      </c>
      <c r="I28" s="13">
        <f>H28*F28</f>
        <v>6262.421396</v>
      </c>
    </row>
    <row r="29" spans="1:9" ht="68.25" customHeight="1">
      <c r="A29" s="6" t="s">
        <v>263</v>
      </c>
      <c r="B29" s="141">
        <v>103195</v>
      </c>
      <c r="C29" s="141" t="s">
        <v>138</v>
      </c>
      <c r="D29" s="3" t="s">
        <v>256</v>
      </c>
      <c r="E29" s="9" t="s">
        <v>12</v>
      </c>
      <c r="F29" s="10">
        <v>1</v>
      </c>
      <c r="G29" s="11">
        <v>2177.74</v>
      </c>
      <c r="H29" s="12">
        <f>G29*H11+G29</f>
        <v>2620.6923159999997</v>
      </c>
      <c r="I29" s="13">
        <f>H29*F29</f>
        <v>2620.6923159999997</v>
      </c>
    </row>
    <row r="30" spans="1:9" ht="29.25" customHeight="1">
      <c r="A30" s="44"/>
      <c r="B30" s="45"/>
      <c r="C30" s="45"/>
      <c r="D30" s="46"/>
      <c r="E30" s="165" t="s">
        <v>72</v>
      </c>
      <c r="F30" s="165"/>
      <c r="G30" s="165"/>
      <c r="H30" s="165"/>
      <c r="I30" s="47">
        <f>I20+I15</f>
        <v>46910.048284</v>
      </c>
    </row>
    <row r="32" spans="5:9" ht="15">
      <c r="E32" s="160" t="s">
        <v>264</v>
      </c>
      <c r="F32" s="160"/>
      <c r="G32" s="160"/>
      <c r="H32" s="160"/>
      <c r="I32" s="160"/>
    </row>
    <row r="33" spans="5:9" ht="15">
      <c r="E33" s="21"/>
      <c r="G33" s="21"/>
      <c r="H33" s="21"/>
      <c r="I33" s="21"/>
    </row>
    <row r="35" spans="5:9" ht="15">
      <c r="E35" s="160" t="s">
        <v>73</v>
      </c>
      <c r="F35" s="160"/>
      <c r="G35" s="160"/>
      <c r="H35" s="160"/>
      <c r="I35" s="160"/>
    </row>
    <row r="36" spans="5:9" ht="15">
      <c r="E36" s="160" t="s">
        <v>74</v>
      </c>
      <c r="F36" s="160"/>
      <c r="G36" s="160"/>
      <c r="H36" s="160"/>
      <c r="I36" s="160"/>
    </row>
    <row r="37" spans="5:9" ht="15">
      <c r="E37" s="160" t="s">
        <v>75</v>
      </c>
      <c r="F37" s="160"/>
      <c r="G37" s="160"/>
      <c r="H37" s="160"/>
      <c r="I37" s="160"/>
    </row>
    <row r="38" spans="5:9" ht="15">
      <c r="E38" s="160"/>
      <c r="F38" s="160"/>
      <c r="G38" s="160"/>
      <c r="H38" s="160"/>
      <c r="I38" s="160"/>
    </row>
  </sheetData>
  <mergeCells count="9">
    <mergeCell ref="E36:I36"/>
    <mergeCell ref="E37:I37"/>
    <mergeCell ref="E38:I38"/>
    <mergeCell ref="E30:H30"/>
    <mergeCell ref="G5:G7"/>
    <mergeCell ref="G9:G10"/>
    <mergeCell ref="E32:I32"/>
    <mergeCell ref="E35:I35"/>
    <mergeCell ref="A8:I8"/>
  </mergeCells>
  <conditionalFormatting sqref="F18:G19 F26:G29 I16:I19 A16:A19 A21:A29 I21:I29 F21:G24">
    <cfRule type="expression" priority="419" dxfId="1">
      <formula>IF($L16="I",TRUE,FALSE)</formula>
    </cfRule>
    <cfRule type="expression" priority="420" dxfId="0">
      <formula>IF($L16="T",TRUE,FALSE)</formula>
    </cfRule>
  </conditionalFormatting>
  <conditionalFormatting sqref="A15 I15 E15:G15">
    <cfRule type="expression" priority="394" dxfId="1">
      <formula>IF($L15="I",TRUE,FALSE)</formula>
    </cfRule>
    <cfRule type="expression" priority="395" dxfId="0">
      <formula>IF($L15="T",TRUE,FALSE)</formula>
    </cfRule>
  </conditionalFormatting>
  <conditionalFormatting sqref="F25:G25">
    <cfRule type="expression" priority="201" dxfId="1">
      <formula>IF($L25="I",TRUE,FALSE)</formula>
    </cfRule>
    <cfRule type="expression" priority="202" dxfId="0">
      <formula>IF($L25="T",TRUE,FALSE)</formula>
    </cfRule>
  </conditionalFormatting>
  <conditionalFormatting sqref="F16:G17">
    <cfRule type="expression" priority="165" dxfId="1">
      <formula>IF($L16="I",TRUE,FALSE)</formula>
    </cfRule>
    <cfRule type="expression" priority="166" dxfId="0">
      <formula>IF($L16="T",TRUE,FALSE)</formula>
    </cfRule>
  </conditionalFormatting>
  <conditionalFormatting sqref="E16:E19">
    <cfRule type="expression" priority="31" dxfId="1">
      <formula>IF($L16="I",TRUE,FALSE)</formula>
    </cfRule>
    <cfRule type="expression" priority="32" dxfId="0">
      <formula>IF($L16="T",TRUE,FALSE)</formula>
    </cfRule>
  </conditionalFormatting>
  <conditionalFormatting sqref="E21:E29">
    <cfRule type="expression" priority="29" dxfId="1">
      <formula>IF($L21="I",TRUE,FALSE)</formula>
    </cfRule>
    <cfRule type="expression" priority="30" dxfId="0">
      <formula>IF($L21="T",TRUE,FALSE)</formula>
    </cfRule>
  </conditionalFormatting>
  <conditionalFormatting sqref="A20 I20 E20:G20">
    <cfRule type="expression" priority="1" dxfId="1">
      <formula>IF($L20="I",TRUE,FALSE)</formula>
    </cfRule>
    <cfRule type="expression" priority="2" dxfId="0">
      <formula>IF($L20="T",TRUE,FALSE)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="110" zoomScaleNormal="110" workbookViewId="0" topLeftCell="A1">
      <selection activeCell="E59" sqref="E59"/>
    </sheetView>
  </sheetViews>
  <sheetFormatPr defaultColWidth="9.140625" defaultRowHeight="15"/>
  <cols>
    <col min="2" max="2" width="57.00390625" style="0" customWidth="1"/>
    <col min="3" max="3" width="9.140625" style="51" customWidth="1"/>
    <col min="4" max="4" width="10.140625" style="66" customWidth="1"/>
    <col min="5" max="5" width="56.00390625" style="5" customWidth="1"/>
  </cols>
  <sheetData>
    <row r="1" spans="1:4" ht="15">
      <c r="A1" t="s">
        <v>2</v>
      </c>
      <c r="B1" t="s">
        <v>4</v>
      </c>
      <c r="C1" s="51" t="s">
        <v>12</v>
      </c>
      <c r="D1" s="66" t="s">
        <v>13</v>
      </c>
    </row>
    <row r="2" spans="1:5" ht="15">
      <c r="A2" s="71" t="s">
        <v>91</v>
      </c>
      <c r="B2" s="2" t="e">
        <f>Planilha1!#REF!</f>
        <v>#REF!</v>
      </c>
      <c r="C2" s="64"/>
      <c r="D2" s="67"/>
      <c r="E2" s="20"/>
    </row>
    <row r="3" spans="1:5" ht="15">
      <c r="A3" s="6" t="s">
        <v>92</v>
      </c>
      <c r="B3" s="5" t="e">
        <f>Planilha1!#REF!</f>
        <v>#REF!</v>
      </c>
      <c r="C3" s="9" t="s">
        <v>19</v>
      </c>
      <c r="D3" s="68">
        <v>4960</v>
      </c>
      <c r="E3" s="58" t="s">
        <v>131</v>
      </c>
    </row>
    <row r="4" spans="1:5" ht="25.5">
      <c r="A4" s="6" t="s">
        <v>93</v>
      </c>
      <c r="B4" s="6" t="e">
        <f>Planilha1!#REF!</f>
        <v>#REF!</v>
      </c>
      <c r="C4" s="95" t="s">
        <v>124</v>
      </c>
      <c r="D4" s="68">
        <v>1</v>
      </c>
      <c r="E4" s="58"/>
    </row>
    <row r="5" spans="1:5" ht="15">
      <c r="A5" s="53" t="s">
        <v>94</v>
      </c>
      <c r="B5" s="52" t="e">
        <f>Planilha1!#REF!</f>
        <v>#REF!</v>
      </c>
      <c r="C5" s="54" t="s">
        <v>12</v>
      </c>
      <c r="D5" s="68">
        <v>1</v>
      </c>
      <c r="E5" s="58"/>
    </row>
    <row r="6" spans="1:5" ht="15">
      <c r="A6" s="14" t="s">
        <v>95</v>
      </c>
      <c r="B6" s="8" t="e">
        <f>Planilha1!#REF!</f>
        <v>#REF!</v>
      </c>
      <c r="C6" s="9" t="s">
        <v>19</v>
      </c>
      <c r="D6" s="68">
        <v>3</v>
      </c>
      <c r="E6" s="58" t="s">
        <v>132</v>
      </c>
    </row>
    <row r="7" spans="1:5" ht="30">
      <c r="A7" s="62" t="s">
        <v>96</v>
      </c>
      <c r="B7" s="5" t="e">
        <f>Planilha1!#REF!</f>
        <v>#REF!</v>
      </c>
      <c r="C7" s="54" t="s">
        <v>20</v>
      </c>
      <c r="D7" s="69">
        <f>(D3/2)*0.2</f>
        <v>496</v>
      </c>
      <c r="E7" s="61" t="s">
        <v>133</v>
      </c>
    </row>
    <row r="8" spans="1:5" s="60" customFormat="1" ht="15">
      <c r="A8" s="59" t="s">
        <v>97</v>
      </c>
      <c r="B8" s="1" t="e">
        <f>Planilha1!#REF!</f>
        <v>#REF!</v>
      </c>
      <c r="C8" s="43" t="s">
        <v>20</v>
      </c>
      <c r="D8" s="68">
        <f>25*2.8*0.07</f>
        <v>4.9</v>
      </c>
      <c r="E8" s="58" t="s">
        <v>134</v>
      </c>
    </row>
    <row r="9" spans="1:5" s="60" customFormat="1" ht="15">
      <c r="A9" s="72" t="s">
        <v>76</v>
      </c>
      <c r="B9" s="2" t="e">
        <f>Planilha1!#REF!</f>
        <v>#REF!</v>
      </c>
      <c r="C9" s="64"/>
      <c r="D9" s="67"/>
      <c r="E9" s="20"/>
    </row>
    <row r="10" spans="1:5" s="60" customFormat="1" ht="30">
      <c r="A10" s="53" t="s">
        <v>15</v>
      </c>
      <c r="B10" s="8" t="e">
        <f>Planilha1!#REF!</f>
        <v>#REF!</v>
      </c>
      <c r="C10" s="31" t="s">
        <v>19</v>
      </c>
      <c r="D10" s="68">
        <f>1504.85+232.6</f>
        <v>1737.4499999999998</v>
      </c>
      <c r="E10" s="58" t="s">
        <v>221</v>
      </c>
    </row>
    <row r="11" spans="1:5" s="60" customFormat="1" ht="15">
      <c r="A11" s="53" t="s">
        <v>16</v>
      </c>
      <c r="B11" s="33" t="e">
        <f>Planilha1!#REF!</f>
        <v>#REF!</v>
      </c>
      <c r="C11" s="31" t="s">
        <v>20</v>
      </c>
      <c r="D11" s="68">
        <f>1573.33*0.07</f>
        <v>110.1331</v>
      </c>
      <c r="E11" s="58" t="s">
        <v>222</v>
      </c>
    </row>
    <row r="12" spans="1:5" s="60" customFormat="1" ht="30.75" customHeight="1">
      <c r="A12" s="53" t="s">
        <v>17</v>
      </c>
      <c r="B12" s="33" t="e">
        <f>Planilha1!#REF!</f>
        <v>#REF!</v>
      </c>
      <c r="C12" s="31" t="s">
        <v>19</v>
      </c>
      <c r="D12" s="68">
        <v>164.12</v>
      </c>
      <c r="E12" s="58" t="s">
        <v>139</v>
      </c>
    </row>
    <row r="13" spans="1:5" s="60" customFormat="1" ht="15" customHeight="1">
      <c r="A13" s="130"/>
      <c r="B13" s="131" t="e">
        <f>Planilha1!#REF!</f>
        <v>#REF!</v>
      </c>
      <c r="C13" s="31" t="s">
        <v>11</v>
      </c>
      <c r="D13" s="68">
        <f>28*2</f>
        <v>56</v>
      </c>
      <c r="E13" s="58" t="s">
        <v>225</v>
      </c>
    </row>
    <row r="14" spans="1:5" ht="15">
      <c r="A14" s="72" t="s">
        <v>23</v>
      </c>
      <c r="B14" s="16" t="e">
        <f>Planilha1!#REF!</f>
        <v>#REF!</v>
      </c>
      <c r="C14" s="65"/>
      <c r="D14" s="70"/>
      <c r="E14" s="82"/>
    </row>
    <row r="15" spans="1:5" ht="30">
      <c r="A15" s="6" t="s">
        <v>24</v>
      </c>
      <c r="B15" s="8" t="s">
        <v>58</v>
      </c>
      <c r="C15" s="31" t="s">
        <v>20</v>
      </c>
      <c r="D15" s="18">
        <f>1*0.5*0.5*4*2</f>
        <v>2</v>
      </c>
      <c r="E15" s="3" t="s">
        <v>187</v>
      </c>
    </row>
    <row r="16" spans="1:5" ht="30">
      <c r="A16" s="22" t="s">
        <v>27</v>
      </c>
      <c r="B16" s="30" t="s">
        <v>60</v>
      </c>
      <c r="C16" s="31" t="s">
        <v>20</v>
      </c>
      <c r="D16" s="18">
        <f>1*0.5*0.5*4*2</f>
        <v>2</v>
      </c>
      <c r="E16" s="3" t="s">
        <v>186</v>
      </c>
    </row>
    <row r="17" spans="1:5" ht="30">
      <c r="A17" s="6" t="s">
        <v>84</v>
      </c>
      <c r="B17" s="3" t="s">
        <v>173</v>
      </c>
      <c r="C17" s="23" t="s">
        <v>11</v>
      </c>
      <c r="D17" s="18">
        <f>4*3.5*2</f>
        <v>28</v>
      </c>
      <c r="E17" s="3" t="s">
        <v>185</v>
      </c>
    </row>
    <row r="18" spans="1:5" ht="30">
      <c r="A18" s="6" t="s">
        <v>181</v>
      </c>
      <c r="B18" s="3" t="s">
        <v>175</v>
      </c>
      <c r="C18" s="9" t="s">
        <v>11</v>
      </c>
      <c r="D18" s="36">
        <f>2*2.4*2</f>
        <v>9.6</v>
      </c>
      <c r="E18" s="35" t="s">
        <v>192</v>
      </c>
    </row>
    <row r="19" spans="1:5" ht="30">
      <c r="A19" s="22" t="s">
        <v>182</v>
      </c>
      <c r="B19" s="3" t="s">
        <v>176</v>
      </c>
      <c r="C19" s="23" t="s">
        <v>11</v>
      </c>
      <c r="D19" s="36">
        <f>13*3.5*2</f>
        <v>91</v>
      </c>
      <c r="E19" s="35" t="s">
        <v>191</v>
      </c>
    </row>
    <row r="20" spans="1:5" ht="30">
      <c r="A20" s="6" t="s">
        <v>183</v>
      </c>
      <c r="B20" s="3" t="s">
        <v>177</v>
      </c>
      <c r="C20" s="23" t="s">
        <v>11</v>
      </c>
      <c r="D20" s="36">
        <f>D19+D18+D17</f>
        <v>128.6</v>
      </c>
      <c r="E20" s="35" t="s">
        <v>188</v>
      </c>
    </row>
    <row r="21" spans="1:5" ht="15">
      <c r="A21" s="6" t="s">
        <v>184</v>
      </c>
      <c r="B21" t="s">
        <v>179</v>
      </c>
      <c r="C21" s="23" t="s">
        <v>11</v>
      </c>
      <c r="D21" s="36">
        <f>16+5+40.04</f>
        <v>61.04</v>
      </c>
      <c r="E21" s="35" t="s">
        <v>193</v>
      </c>
    </row>
    <row r="22" spans="1:5" ht="15">
      <c r="A22" s="73" t="s">
        <v>34</v>
      </c>
      <c r="B22" s="16" t="e">
        <f>Planilha1!#REF!</f>
        <v>#REF!</v>
      </c>
      <c r="C22" s="125"/>
      <c r="D22" s="126"/>
      <c r="E22" s="127"/>
    </row>
    <row r="23" spans="1:5" ht="18" customHeight="1">
      <c r="A23" s="73" t="s">
        <v>35</v>
      </c>
      <c r="B23" s="75" t="s">
        <v>57</v>
      </c>
      <c r="C23" s="76"/>
      <c r="D23" s="39"/>
      <c r="E23" s="83"/>
    </row>
    <row r="24" spans="1:5" ht="30">
      <c r="A24" s="6" t="s">
        <v>143</v>
      </c>
      <c r="B24" s="84" t="s">
        <v>58</v>
      </c>
      <c r="C24" s="37" t="s">
        <v>20</v>
      </c>
      <c r="D24" s="38">
        <f>15*0.2*0.3</f>
        <v>0.8999999999999999</v>
      </c>
      <c r="E24" s="32" t="s">
        <v>161</v>
      </c>
    </row>
    <row r="25" spans="1:5" ht="15">
      <c r="A25" s="6" t="s">
        <v>144</v>
      </c>
      <c r="B25" s="30" t="s">
        <v>59</v>
      </c>
      <c r="C25" s="31" t="s">
        <v>20</v>
      </c>
      <c r="D25" s="18">
        <f>15*0.2*0.05</f>
        <v>0.15000000000000002</v>
      </c>
      <c r="E25" s="3" t="s">
        <v>162</v>
      </c>
    </row>
    <row r="26" spans="1:5" ht="15">
      <c r="A26" s="63" t="s">
        <v>145</v>
      </c>
      <c r="B26" s="30" t="s">
        <v>60</v>
      </c>
      <c r="C26" s="31" t="s">
        <v>20</v>
      </c>
      <c r="D26" s="38">
        <f>15*0.2*0.3</f>
        <v>0.8999999999999999</v>
      </c>
      <c r="E26" s="32" t="s">
        <v>161</v>
      </c>
    </row>
    <row r="27" spans="1:5" ht="15">
      <c r="A27" s="27" t="s">
        <v>146</v>
      </c>
      <c r="B27" s="30" t="s">
        <v>62</v>
      </c>
      <c r="C27" s="31" t="s">
        <v>19</v>
      </c>
      <c r="D27" s="18">
        <f>15*0.2*2</f>
        <v>6</v>
      </c>
      <c r="E27" s="3" t="s">
        <v>163</v>
      </c>
    </row>
    <row r="28" spans="1:5" ht="15">
      <c r="A28" s="63" t="s">
        <v>147</v>
      </c>
      <c r="B28" s="30" t="s">
        <v>63</v>
      </c>
      <c r="C28" s="31" t="s">
        <v>14</v>
      </c>
      <c r="D28" s="18">
        <f>D26*100</f>
        <v>89.99999999999999</v>
      </c>
      <c r="E28" s="3" t="s">
        <v>164</v>
      </c>
    </row>
    <row r="29" spans="1:5" ht="15">
      <c r="A29" s="27" t="s">
        <v>148</v>
      </c>
      <c r="B29" s="30" t="str">
        <f>'[2]desonerado-181'!$B$669</f>
        <v>Broca em concreto armado diâmetro de 20 cm - completa</v>
      </c>
      <c r="C29" s="31" t="s">
        <v>11</v>
      </c>
      <c r="D29" s="18">
        <f>5*3</f>
        <v>15</v>
      </c>
      <c r="E29" s="3" t="s">
        <v>165</v>
      </c>
    </row>
    <row r="30" spans="1:5" ht="15">
      <c r="A30" s="73" t="s">
        <v>36</v>
      </c>
      <c r="B30" s="75" t="s">
        <v>70</v>
      </c>
      <c r="C30" s="76"/>
      <c r="D30" s="67"/>
      <c r="E30" s="20"/>
    </row>
    <row r="31" spans="1:5" ht="15">
      <c r="A31" s="6" t="s">
        <v>149</v>
      </c>
      <c r="B31" s="30" t="s">
        <v>60</v>
      </c>
      <c r="C31" s="31" t="s">
        <v>20</v>
      </c>
      <c r="D31" s="18">
        <f>0.25*0.25*2.8*5</f>
        <v>0.875</v>
      </c>
      <c r="E31" s="3" t="s">
        <v>166</v>
      </c>
    </row>
    <row r="32" spans="1:5" ht="15">
      <c r="A32" s="6" t="s">
        <v>150</v>
      </c>
      <c r="B32" s="30" t="s">
        <v>62</v>
      </c>
      <c r="C32" s="31" t="s">
        <v>19</v>
      </c>
      <c r="D32" s="68">
        <f>(0.25*4)*2.8*5</f>
        <v>14</v>
      </c>
      <c r="E32" s="58" t="s">
        <v>167</v>
      </c>
    </row>
    <row r="33" spans="1:5" ht="19.5" customHeight="1">
      <c r="A33" s="6" t="s">
        <v>151</v>
      </c>
      <c r="B33" s="30" t="s">
        <v>63</v>
      </c>
      <c r="C33" s="31" t="s">
        <v>14</v>
      </c>
      <c r="D33" s="92">
        <f>D31*100</f>
        <v>87.5</v>
      </c>
      <c r="E33" s="93" t="s">
        <v>105</v>
      </c>
    </row>
    <row r="34" spans="1:5" ht="15">
      <c r="A34" s="73" t="s">
        <v>90</v>
      </c>
      <c r="B34" s="75" t="s">
        <v>141</v>
      </c>
      <c r="C34" s="76"/>
      <c r="D34" s="128"/>
      <c r="E34" s="129"/>
    </row>
    <row r="35" spans="1:5" s="17" customFormat="1" ht="30">
      <c r="A35" s="6" t="s">
        <v>152</v>
      </c>
      <c r="B35" s="8" t="s">
        <v>37</v>
      </c>
      <c r="C35" s="9" t="s">
        <v>19</v>
      </c>
      <c r="D35" s="85">
        <f>12*0.4</f>
        <v>4.800000000000001</v>
      </c>
      <c r="E35" s="8" t="s">
        <v>168</v>
      </c>
    </row>
    <row r="36" spans="1:5" ht="35.25" customHeight="1">
      <c r="A36" s="6" t="s">
        <v>153</v>
      </c>
      <c r="B36" s="7" t="s">
        <v>30</v>
      </c>
      <c r="C36" s="9" t="s">
        <v>19</v>
      </c>
      <c r="D36" s="92">
        <f>4.8*2</f>
        <v>9.6</v>
      </c>
      <c r="E36" s="94" t="s">
        <v>169</v>
      </c>
    </row>
    <row r="37" spans="1:5" ht="15">
      <c r="A37" s="6" t="s">
        <v>154</v>
      </c>
      <c r="B37" s="7" t="s">
        <v>28</v>
      </c>
      <c r="C37" s="9" t="s">
        <v>19</v>
      </c>
      <c r="D37" s="92">
        <f aca="true" t="shared" si="0" ref="D37:D39">4.8*2</f>
        <v>9.6</v>
      </c>
      <c r="E37" s="94" t="s">
        <v>169</v>
      </c>
    </row>
    <row r="38" spans="1:5" ht="15">
      <c r="A38" s="6" t="s">
        <v>155</v>
      </c>
      <c r="B38" s="34" t="s">
        <v>31</v>
      </c>
      <c r="C38" s="54" t="s">
        <v>19</v>
      </c>
      <c r="D38" s="92">
        <f t="shared" si="0"/>
        <v>9.6</v>
      </c>
      <c r="E38" s="94" t="s">
        <v>169</v>
      </c>
    </row>
    <row r="39" spans="1:5" ht="15">
      <c r="A39" s="81" t="s">
        <v>156</v>
      </c>
      <c r="B39" s="33" t="s">
        <v>142</v>
      </c>
      <c r="C39" s="19" t="s">
        <v>19</v>
      </c>
      <c r="D39" s="92">
        <f t="shared" si="0"/>
        <v>9.6</v>
      </c>
      <c r="E39" s="94" t="s">
        <v>169</v>
      </c>
    </row>
    <row r="40" spans="1:5" ht="24.75" customHeight="1">
      <c r="A40" s="81"/>
      <c r="B40" s="30" t="e">
        <f>Planilha1!#REF!</f>
        <v>#REF!</v>
      </c>
      <c r="C40" s="122" t="s">
        <v>19</v>
      </c>
      <c r="D40" s="92">
        <v>23.4</v>
      </c>
      <c r="E40" s="94" t="s">
        <v>220</v>
      </c>
    </row>
    <row r="41" spans="1:5" ht="15">
      <c r="A41" s="73" t="s">
        <v>98</v>
      </c>
      <c r="B41" s="75" t="s">
        <v>51</v>
      </c>
      <c r="C41" s="76"/>
      <c r="D41" s="67"/>
      <c r="E41" s="20"/>
    </row>
    <row r="42" spans="1:5" ht="30">
      <c r="A42" s="6" t="s">
        <v>157</v>
      </c>
      <c r="B42" s="8" t="s">
        <v>106</v>
      </c>
      <c r="C42" s="41" t="s">
        <v>19</v>
      </c>
      <c r="D42" s="18">
        <v>35.43</v>
      </c>
      <c r="E42" s="3" t="s">
        <v>170</v>
      </c>
    </row>
    <row r="43" spans="1:5" ht="15">
      <c r="A43" s="6" t="s">
        <v>158</v>
      </c>
      <c r="B43" s="17" t="s">
        <v>107</v>
      </c>
      <c r="C43" s="41" t="s">
        <v>19</v>
      </c>
      <c r="D43" s="18">
        <f>8/100*D42+D42</f>
        <v>38.2644</v>
      </c>
      <c r="E43" s="3" t="s">
        <v>171</v>
      </c>
    </row>
    <row r="44" spans="1:5" ht="30">
      <c r="A44" s="6" t="s">
        <v>159</v>
      </c>
      <c r="B44" s="8" t="s">
        <v>103</v>
      </c>
      <c r="C44" s="41" t="s">
        <v>11</v>
      </c>
      <c r="D44" s="18">
        <f>3.7*5</f>
        <v>18.5</v>
      </c>
      <c r="E44" s="3"/>
    </row>
    <row r="45" spans="1:5" ht="15">
      <c r="A45" s="6" t="s">
        <v>160</v>
      </c>
      <c r="B45" s="17" t="s">
        <v>110</v>
      </c>
      <c r="C45" s="41" t="s">
        <v>11</v>
      </c>
      <c r="D45" s="18">
        <v>15</v>
      </c>
      <c r="E45" s="3"/>
    </row>
    <row r="46" spans="1:5" ht="24.75" customHeight="1">
      <c r="A46" s="73" t="s">
        <v>49</v>
      </c>
      <c r="B46" s="15" t="e">
        <f>Planilha1!#REF!</f>
        <v>#REF!</v>
      </c>
      <c r="C46" s="64"/>
      <c r="D46" s="67"/>
      <c r="E46" s="20"/>
    </row>
    <row r="47" spans="1:5" ht="15">
      <c r="A47" s="6" t="s">
        <v>50</v>
      </c>
      <c r="B47" s="3" t="e">
        <f>Planilha1!#REF!</f>
        <v>#REF!</v>
      </c>
      <c r="C47" s="9" t="s">
        <v>12</v>
      </c>
      <c r="D47" s="18">
        <v>56</v>
      </c>
      <c r="E47" s="3"/>
    </row>
    <row r="48" spans="1:5" ht="45">
      <c r="A48" s="6" t="s">
        <v>77</v>
      </c>
      <c r="B48" s="5" t="s">
        <v>234</v>
      </c>
      <c r="C48" s="23" t="s">
        <v>12</v>
      </c>
      <c r="D48" s="18">
        <v>1</v>
      </c>
      <c r="E48" s="3"/>
    </row>
    <row r="49" spans="1:5" ht="30">
      <c r="A49" s="6" t="s">
        <v>78</v>
      </c>
      <c r="B49" s="8" t="s">
        <v>58</v>
      </c>
      <c r="C49" s="31" t="s">
        <v>20</v>
      </c>
      <c r="D49" s="85">
        <f>138*0.5*0.15</f>
        <v>10.35</v>
      </c>
      <c r="E49" s="96" t="s">
        <v>238</v>
      </c>
    </row>
    <row r="50" spans="1:5" ht="15">
      <c r="A50" s="6" t="s">
        <v>79</v>
      </c>
      <c r="B50" s="30" t="s">
        <v>60</v>
      </c>
      <c r="C50" s="31" t="s">
        <v>20</v>
      </c>
      <c r="D50" s="85">
        <f>138*0.15*0.15</f>
        <v>3.105</v>
      </c>
      <c r="E50" s="96" t="s">
        <v>239</v>
      </c>
    </row>
    <row r="51" spans="1:5" ht="15">
      <c r="A51" s="6" t="s">
        <v>85</v>
      </c>
      <c r="B51" s="17" t="s">
        <v>227</v>
      </c>
      <c r="C51" s="9" t="s">
        <v>20</v>
      </c>
      <c r="D51" s="85">
        <f>138*0.35*0.15</f>
        <v>7.244999999999999</v>
      </c>
      <c r="E51" s="96" t="s">
        <v>240</v>
      </c>
    </row>
    <row r="52" spans="1:5" ht="30">
      <c r="A52" s="53" t="s">
        <v>86</v>
      </c>
      <c r="B52" s="3" t="s">
        <v>229</v>
      </c>
      <c r="C52" s="9" t="s">
        <v>11</v>
      </c>
      <c r="D52" s="18">
        <v>638</v>
      </c>
      <c r="E52" s="3"/>
    </row>
    <row r="53" spans="1:5" ht="30">
      <c r="A53" s="53" t="s">
        <v>87</v>
      </c>
      <c r="B53" s="3" t="s">
        <v>231</v>
      </c>
      <c r="C53" s="9" t="s">
        <v>11</v>
      </c>
      <c r="D53" s="18">
        <v>600</v>
      </c>
      <c r="E53" s="3"/>
    </row>
    <row r="54" spans="1:5" ht="15">
      <c r="A54" s="6" t="s">
        <v>88</v>
      </c>
      <c r="B54" s="1" t="s">
        <v>233</v>
      </c>
      <c r="C54" s="31" t="s">
        <v>11</v>
      </c>
      <c r="D54" s="18">
        <v>140</v>
      </c>
      <c r="E54" s="3"/>
    </row>
  </sheetData>
  <conditionalFormatting sqref="B2 B10:B13 A7:A13 C47 A47:A54">
    <cfRule type="expression" priority="336" dxfId="1">
      <formula>IF($L2="I",TRUE,FALSE)</formula>
    </cfRule>
    <cfRule type="expression" priority="336" dxfId="0">
      <formula>IF($L2="T",TRUE,FALSE)</formula>
    </cfRule>
  </conditionalFormatting>
  <conditionalFormatting sqref="B4">
    <cfRule type="expression" priority="263" dxfId="1">
      <formula>IF($L4="I",TRUE,FALSE)</formula>
    </cfRule>
    <cfRule type="expression" priority="264" dxfId="0">
      <formula>IF($L4="T",TRUE,FALSE)</formula>
    </cfRule>
  </conditionalFormatting>
  <conditionalFormatting sqref="B9">
    <cfRule type="expression" priority="259" dxfId="1">
      <formula>IF($L9="I",TRUE,FALSE)</formula>
    </cfRule>
  </conditionalFormatting>
  <conditionalFormatting sqref="A3">
    <cfRule type="expression" priority="149" dxfId="1">
      <formula>IF($L3="I",TRUE,FALSE)</formula>
    </cfRule>
    <cfRule type="expression" priority="150" dxfId="0">
      <formula>IF($L3="T",TRUE,FALSE)</formula>
    </cfRule>
  </conditionalFormatting>
  <conditionalFormatting sqref="A2 A4:A5">
    <cfRule type="expression" priority="165" dxfId="1">
      <formula>IF($L2="I",TRUE,FALSE)</formula>
    </cfRule>
    <cfRule type="expression" priority="166" dxfId="0">
      <formula>IF($L2="T",TRUE,FALSE)</formula>
    </cfRule>
  </conditionalFormatting>
  <conditionalFormatting sqref="A14">
    <cfRule type="expression" priority="159" dxfId="1">
      <formula>IF($L14="I",TRUE,FALSE)</formula>
    </cfRule>
    <cfRule type="expression" priority="160" dxfId="0">
      <formula>IF($L14="T",TRUE,FALSE)</formula>
    </cfRule>
  </conditionalFormatting>
  <conditionalFormatting sqref="A46">
    <cfRule type="expression" priority="155" dxfId="1">
      <formula>IF($L46="I",TRUE,FALSE)</formula>
    </cfRule>
    <cfRule type="expression" priority="156" dxfId="0">
      <formula>IF($L46="T",TRUE,FALSE)</formula>
    </cfRule>
  </conditionalFormatting>
  <conditionalFormatting sqref="A6">
    <cfRule type="expression" priority="147" dxfId="1">
      <formula>IF($L6="I",TRUE,FALSE)</formula>
    </cfRule>
    <cfRule type="expression" priority="148" dxfId="0">
      <formula>IF($L6="T",TRUE,FALSE)</formula>
    </cfRule>
  </conditionalFormatting>
  <conditionalFormatting sqref="C7 C4:C5">
    <cfRule type="expression" priority="73" dxfId="1">
      <formula>IF($L4="I",TRUE,FALSE)</formula>
    </cfRule>
    <cfRule type="expression" priority="74" dxfId="0">
      <formula>IF($L4="T",TRUE,FALSE)</formula>
    </cfRule>
  </conditionalFormatting>
  <conditionalFormatting sqref="C3">
    <cfRule type="expression" priority="71" dxfId="1">
      <formula>IF($L3="I",TRUE,FALSE)</formula>
    </cfRule>
    <cfRule type="expression" priority="72" dxfId="0">
      <formula>IF($L3="T",TRUE,FALSE)</formula>
    </cfRule>
  </conditionalFormatting>
  <conditionalFormatting sqref="C6">
    <cfRule type="expression" priority="69" dxfId="1">
      <formula>IF($L6="I",TRUE,FALSE)</formula>
    </cfRule>
    <cfRule type="expression" priority="70" dxfId="0">
      <formula>IF($L6="T",TRUE,FALSE)</formula>
    </cfRule>
  </conditionalFormatting>
  <conditionalFormatting sqref="C23">
    <cfRule type="expression" priority="67" dxfId="1">
      <formula>IF($L23="I",TRUE,FALSE)</formula>
    </cfRule>
    <cfRule type="expression" priority="68" dxfId="0">
      <formula>IF($L23="T",TRUE,FALSE)</formula>
    </cfRule>
  </conditionalFormatting>
  <conditionalFormatting sqref="C41">
    <cfRule type="expression" priority="65" dxfId="1">
      <formula>IF($L41="I",TRUE,FALSE)</formula>
    </cfRule>
    <cfRule type="expression" priority="66" dxfId="0">
      <formula>IF($L41="T",TRUE,FALSE)</formula>
    </cfRule>
  </conditionalFormatting>
  <conditionalFormatting sqref="B24">
    <cfRule type="expression" priority="63" dxfId="1">
      <formula>IF($L24="I",TRUE,FALSE)</formula>
    </cfRule>
    <cfRule type="expression" priority="64" dxfId="0">
      <formula>IF($L24="T",TRUE,FALSE)</formula>
    </cfRule>
  </conditionalFormatting>
  <conditionalFormatting sqref="B25:B26">
    <cfRule type="expression" priority="61" dxfId="1">
      <formula>IF($L25="I",TRUE,FALSE)</formula>
    </cfRule>
    <cfRule type="expression" priority="62" dxfId="0">
      <formula>IF($L25="T",TRUE,FALSE)</formula>
    </cfRule>
  </conditionalFormatting>
  <conditionalFormatting sqref="B27:B29">
    <cfRule type="expression" priority="59" dxfId="1">
      <formula>IF($L27="I",TRUE,FALSE)</formula>
    </cfRule>
    <cfRule type="expression" priority="60" dxfId="0">
      <formula>IF($L27="T",TRUE,FALSE)</formula>
    </cfRule>
  </conditionalFormatting>
  <conditionalFormatting sqref="C30">
    <cfRule type="expression" priority="57" dxfId="1">
      <formula>IF($L30="I",TRUE,FALSE)</formula>
    </cfRule>
    <cfRule type="expression" priority="58" dxfId="0">
      <formula>IF($L30="T",TRUE,FALSE)</formula>
    </cfRule>
  </conditionalFormatting>
  <conditionalFormatting sqref="C34">
    <cfRule type="expression" priority="51" dxfId="1">
      <formula>IF($L34="I",TRUE,FALSE)</formula>
    </cfRule>
    <cfRule type="expression" priority="52" dxfId="0">
      <formula>IF($L34="T",TRUE,FALSE)</formula>
    </cfRule>
  </conditionalFormatting>
  <conditionalFormatting sqref="B31">
    <cfRule type="expression" priority="55" dxfId="1">
      <formula>IF($L31="I",TRUE,FALSE)</formula>
    </cfRule>
    <cfRule type="expression" priority="56" dxfId="0">
      <formula>IF($L31="T",TRUE,FALSE)</formula>
    </cfRule>
  </conditionalFormatting>
  <conditionalFormatting sqref="B32:B33">
    <cfRule type="expression" priority="53" dxfId="1">
      <formula>IF($L32="I",TRUE,FALSE)</formula>
    </cfRule>
    <cfRule type="expression" priority="54" dxfId="0">
      <formula>IF($L32="T",TRUE,FALSE)</formula>
    </cfRule>
  </conditionalFormatting>
  <conditionalFormatting sqref="C36">
    <cfRule type="expression" priority="45" dxfId="1">
      <formula>IF($L36="I",TRUE,FALSE)</formula>
    </cfRule>
    <cfRule type="expression" priority="46" dxfId="0">
      <formula>IF($L36="T",TRUE,FALSE)</formula>
    </cfRule>
  </conditionalFormatting>
  <conditionalFormatting sqref="C37:C38">
    <cfRule type="expression" priority="47" dxfId="1">
      <formula>IF($L37="I",TRUE,FALSE)</formula>
    </cfRule>
    <cfRule type="expression" priority="48" dxfId="0">
      <formula>IF($L37="T",TRUE,FALSE)</formula>
    </cfRule>
  </conditionalFormatting>
  <conditionalFormatting sqref="C35">
    <cfRule type="expression" priority="49" dxfId="1">
      <formula>IF($L35="I",TRUE,FALSE)</formula>
    </cfRule>
    <cfRule type="expression" priority="50" dxfId="0">
      <formula>IF($L35="T",TRUE,FALSE)</formula>
    </cfRule>
  </conditionalFormatting>
  <conditionalFormatting sqref="A26:A29 A22:A24 A42:A45">
    <cfRule type="expression" priority="43" dxfId="1">
      <formula>IF($L22="I",TRUE,FALSE)</formula>
    </cfRule>
    <cfRule type="expression" priority="44" dxfId="0">
      <formula>IF($L22="T",TRUE,FALSE)</formula>
    </cfRule>
  </conditionalFormatting>
  <conditionalFormatting sqref="A25">
    <cfRule type="expression" priority="41" dxfId="1">
      <formula>IF($L25="I",TRUE,FALSE)</formula>
    </cfRule>
    <cfRule type="expression" priority="42" dxfId="0">
      <formula>IF($L25="T",TRUE,FALSE)</formula>
    </cfRule>
  </conditionalFormatting>
  <conditionalFormatting sqref="A41">
    <cfRule type="expression" priority="39" dxfId="1">
      <formula>IF($L41="I",TRUE,FALSE)</formula>
    </cfRule>
    <cfRule type="expression" priority="40" dxfId="0">
      <formula>IF($L41="T",TRUE,FALSE)</formula>
    </cfRule>
  </conditionalFormatting>
  <conditionalFormatting sqref="A37:A40">
    <cfRule type="expression" priority="37" dxfId="1">
      <formula>IF($L37="I",TRUE,FALSE)</formula>
    </cfRule>
    <cfRule type="expression" priority="38" dxfId="0">
      <formula>IF($L37="T",TRUE,FALSE)</formula>
    </cfRule>
  </conditionalFormatting>
  <conditionalFormatting sqref="A30">
    <cfRule type="expression" priority="35" dxfId="1">
      <formula>IF($L30="I",TRUE,FALSE)</formula>
    </cfRule>
    <cfRule type="expression" priority="36" dxfId="0">
      <formula>IF($L30="T",TRUE,FALSE)</formula>
    </cfRule>
  </conditionalFormatting>
  <conditionalFormatting sqref="A31:A32">
    <cfRule type="expression" priority="31" dxfId="1">
      <formula>IF($L31="I",TRUE,FALSE)</formula>
    </cfRule>
    <cfRule type="expression" priority="32" dxfId="0">
      <formula>IF($L31="T",TRUE,FALSE)</formula>
    </cfRule>
  </conditionalFormatting>
  <conditionalFormatting sqref="A33">
    <cfRule type="expression" priority="33" dxfId="1">
      <formula>IF($L33="I",TRUE,FALSE)</formula>
    </cfRule>
    <cfRule type="expression" priority="34" dxfId="0">
      <formula>IF($L33="T",TRUE,FALSE)</formula>
    </cfRule>
  </conditionalFormatting>
  <conditionalFormatting sqref="A34">
    <cfRule type="expression" priority="29" dxfId="1">
      <formula>IF($L34="I",TRUE,FALSE)</formula>
    </cfRule>
    <cfRule type="expression" priority="30" dxfId="0">
      <formula>IF($L34="T",TRUE,FALSE)</formula>
    </cfRule>
  </conditionalFormatting>
  <conditionalFormatting sqref="A35:A36">
    <cfRule type="expression" priority="27" dxfId="1">
      <formula>IF($L35="I",TRUE,FALSE)</formula>
    </cfRule>
    <cfRule type="expression" priority="28" dxfId="0">
      <formula>IF($L35="T",TRUE,FALSE)</formula>
    </cfRule>
  </conditionalFormatting>
  <conditionalFormatting sqref="B15">
    <cfRule type="expression" priority="25" dxfId="1">
      <formula>IF($L15="I",TRUE,FALSE)</formula>
    </cfRule>
    <cfRule type="expression" priority="26" dxfId="0">
      <formula>IF($L15="T",TRUE,FALSE)</formula>
    </cfRule>
  </conditionalFormatting>
  <conditionalFormatting sqref="B16">
    <cfRule type="expression" priority="23" dxfId="1">
      <formula>IF($L16="I",TRUE,FALSE)</formula>
    </cfRule>
    <cfRule type="expression" priority="24" dxfId="0">
      <formula>IF($L16="T",TRUE,FALSE)</formula>
    </cfRule>
  </conditionalFormatting>
  <conditionalFormatting sqref="A18:A20">
    <cfRule type="expression" priority="21" dxfId="1">
      <formula>IF($L18="I",TRUE,FALSE)</formula>
    </cfRule>
    <cfRule type="expression" priority="22" dxfId="0">
      <formula>IF($L18="T",TRUE,FALSE)</formula>
    </cfRule>
  </conditionalFormatting>
  <conditionalFormatting sqref="A15:A17">
    <cfRule type="expression" priority="19" dxfId="1">
      <formula>IF($L15="I",TRUE,FALSE)</formula>
    </cfRule>
    <cfRule type="expression" priority="20" dxfId="0">
      <formula>IF($L15="T",TRUE,FALSE)</formula>
    </cfRule>
  </conditionalFormatting>
  <conditionalFormatting sqref="A21">
    <cfRule type="expression" priority="17" dxfId="1">
      <formula>IF($L21="I",TRUE,FALSE)</formula>
    </cfRule>
    <cfRule type="expression" priority="18" dxfId="0">
      <formula>IF($L21="T",TRUE,FALSE)</formula>
    </cfRule>
  </conditionalFormatting>
  <conditionalFormatting sqref="C18:C19">
    <cfRule type="expression" priority="15" dxfId="1">
      <formula>IF($L18="I",TRUE,FALSE)</formula>
    </cfRule>
    <cfRule type="expression" priority="16" dxfId="0">
      <formula>IF($L18="T",TRUE,FALSE)</formula>
    </cfRule>
  </conditionalFormatting>
  <conditionalFormatting sqref="C20">
    <cfRule type="expression" priority="13" dxfId="1">
      <formula>IF($L20="I",TRUE,FALSE)</formula>
    </cfRule>
    <cfRule type="expression" priority="14" dxfId="0">
      <formula>IF($L20="T",TRUE,FALSE)</formula>
    </cfRule>
  </conditionalFormatting>
  <conditionalFormatting sqref="C17">
    <cfRule type="expression" priority="11" dxfId="1">
      <formula>IF($L17="I",TRUE,FALSE)</formula>
    </cfRule>
    <cfRule type="expression" priority="12" dxfId="0">
      <formula>IF($L17="T",TRUE,FALSE)</formula>
    </cfRule>
  </conditionalFormatting>
  <conditionalFormatting sqref="C21">
    <cfRule type="expression" priority="9" dxfId="1">
      <formula>IF($L21="I",TRUE,FALSE)</formula>
    </cfRule>
    <cfRule type="expression" priority="10" dxfId="0">
      <formula>IF($L21="T",TRUE,FALSE)</formula>
    </cfRule>
  </conditionalFormatting>
  <conditionalFormatting sqref="C48 C51:C53">
    <cfRule type="expression" priority="5" dxfId="1">
      <formula>IF($L48="I",TRUE,FALSE)</formula>
    </cfRule>
    <cfRule type="expression" priority="6" dxfId="0">
      <formula>IF($L48="T",TRUE,FALSE)</formula>
    </cfRule>
  </conditionalFormatting>
  <conditionalFormatting sqref="B49">
    <cfRule type="expression" priority="3" dxfId="1">
      <formula>IF($L49="I",TRUE,FALSE)</formula>
    </cfRule>
    <cfRule type="expression" priority="4" dxfId="0">
      <formula>IF($L49="T",TRUE,FALSE)</formula>
    </cfRule>
  </conditionalFormatting>
  <conditionalFormatting sqref="B50">
    <cfRule type="expression" priority="1" dxfId="1">
      <formula>IF($L50="I",TRUE,FALSE)</formula>
    </cfRule>
    <cfRule type="expression" priority="2" dxfId="0">
      <formula>IF($L50="T",TRUE,FALSE)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2022-10-21T12:35:28Z</cp:lastPrinted>
  <dcterms:created xsi:type="dcterms:W3CDTF">2022-07-04T16:22:37Z</dcterms:created>
  <dcterms:modified xsi:type="dcterms:W3CDTF">2023-02-24T19:52:50Z</dcterms:modified>
  <cp:category/>
  <cp:version/>
  <cp:contentType/>
  <cp:contentStatus/>
</cp:coreProperties>
</file>