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10425" activeTab="1"/>
  </bookViews>
  <sheets>
    <sheet name="CRONOGRAMA" sheetId="10" r:id="rId1"/>
    <sheet name="PLANILHA" sheetId="1" r:id="rId2"/>
    <sheet name="MEMÓRIA" sheetId="3" r:id="rId3"/>
  </sheets>
  <externalReferences>
    <externalReference r:id="rId6"/>
  </externalReferences>
  <definedNames>
    <definedName name="_xlnm.Print_Area" localSheetId="0">'CRONOGRAMA'!$A$1:$M$161</definedName>
    <definedName name="_xlnm.Print_Area" localSheetId="2">'MEMÓRIA'!$A$1:$E$30</definedName>
    <definedName name="_xlnm.Print_Area" localSheetId="1">'PLANILHA'!$A$1:$I$161</definedName>
    <definedName name="brasao">INDEX('[1]INFO'!$B$47:$D$76,'[1]INFO'!$F$47,3)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<sst xmlns="http://schemas.openxmlformats.org/spreadsheetml/2006/main" count="1650" uniqueCount="399">
  <si>
    <t>DATA BASE:</t>
  </si>
  <si>
    <t>BDI 1:</t>
  </si>
  <si>
    <t>ITEM</t>
  </si>
  <si>
    <t>CÓDIGO</t>
  </si>
  <si>
    <t>DESCRIÇÃO</t>
  </si>
  <si>
    <t>UN</t>
  </si>
  <si>
    <t>QUANT</t>
  </si>
  <si>
    <t>VALOR UNIT</t>
  </si>
  <si>
    <t>VALOR C/ BDI</t>
  </si>
  <si>
    <t xml:space="preserve">TOTAL </t>
  </si>
  <si>
    <t>CDHU</t>
  </si>
  <si>
    <t>M</t>
  </si>
  <si>
    <t>UNID.</t>
  </si>
  <si>
    <t>QUANT.</t>
  </si>
  <si>
    <t>KG</t>
  </si>
  <si>
    <t>2.1</t>
  </si>
  <si>
    <t>2.2</t>
  </si>
  <si>
    <t>2.3</t>
  </si>
  <si>
    <t>2.4</t>
  </si>
  <si>
    <t>M2</t>
  </si>
  <si>
    <t>M3</t>
  </si>
  <si>
    <t>3.</t>
  </si>
  <si>
    <t>3.1</t>
  </si>
  <si>
    <t>PISOS</t>
  </si>
  <si>
    <t>FDE</t>
  </si>
  <si>
    <t>3.2</t>
  </si>
  <si>
    <t>Chapisco</t>
  </si>
  <si>
    <t>Reboco</t>
  </si>
  <si>
    <t>17.02.020</t>
  </si>
  <si>
    <t>17.02.220</t>
  </si>
  <si>
    <t>4.</t>
  </si>
  <si>
    <t>4.1</t>
  </si>
  <si>
    <t>4.2</t>
  </si>
  <si>
    <t>5.</t>
  </si>
  <si>
    <t>5.1</t>
  </si>
  <si>
    <t>6.</t>
  </si>
  <si>
    <t>6.1</t>
  </si>
  <si>
    <t>6.2</t>
  </si>
  <si>
    <t>6.3</t>
  </si>
  <si>
    <t>6.4</t>
  </si>
  <si>
    <t>6.5</t>
  </si>
  <si>
    <t>6.6</t>
  </si>
  <si>
    <t>7.</t>
  </si>
  <si>
    <t>7.1</t>
  </si>
  <si>
    <t>REFERÊNCIA:</t>
  </si>
  <si>
    <t>INFRAESTRUTURA</t>
  </si>
  <si>
    <t>Escavação manual em solo de 1ª e 2ª categoria em vala ou cava até 1,5 m</t>
  </si>
  <si>
    <t>Lastro de pedra britada</t>
  </si>
  <si>
    <t>Concreto usinado, fck = 25,0 Mpa</t>
  </si>
  <si>
    <t>Lançamento e adensamento de concreto ou massa em fundação</t>
  </si>
  <si>
    <t>Forma em madeira comum para fundação</t>
  </si>
  <si>
    <t>Armadura em barra de aço CA-50 (A ou B) fyk= 500 Mpa</t>
  </si>
  <si>
    <t>06.02.020</t>
  </si>
  <si>
    <t>11.18.040</t>
  </si>
  <si>
    <t>11.01.130</t>
  </si>
  <si>
    <t>11.16.040</t>
  </si>
  <si>
    <t>09.01.020</t>
  </si>
  <si>
    <t>10.01.040</t>
  </si>
  <si>
    <t>33.10.020</t>
  </si>
  <si>
    <t>TOTAL GERAL COM BDI</t>
  </si>
  <si>
    <t>ALVARO FLORIAM GEBRAIEL BELLAZ</t>
  </si>
  <si>
    <t>CREA: 507.011.280-5</t>
  </si>
  <si>
    <t>SECRETÁRIO DE OBRAS E PLANEJAMENTO</t>
  </si>
  <si>
    <t>2.</t>
  </si>
  <si>
    <t>REFERÊNCIA</t>
  </si>
  <si>
    <t>3.3</t>
  </si>
  <si>
    <t>PLANILHA ORÇAMENTÁRIA</t>
  </si>
  <si>
    <t>4.3</t>
  </si>
  <si>
    <t>1.</t>
  </si>
  <si>
    <t>1.1</t>
  </si>
  <si>
    <t>1.2</t>
  </si>
  <si>
    <t>1.3</t>
  </si>
  <si>
    <t>1.4</t>
  </si>
  <si>
    <t>1.5</t>
  </si>
  <si>
    <t>1.6</t>
  </si>
  <si>
    <t>4.4</t>
  </si>
  <si>
    <t>4.5</t>
  </si>
  <si>
    <t>1º MÊS</t>
  </si>
  <si>
    <t>2º MÊS</t>
  </si>
  <si>
    <t>3º MÊS</t>
  </si>
  <si>
    <t>4º MÊS</t>
  </si>
  <si>
    <t>SERVIÇOS PRELIMINARES</t>
  </si>
  <si>
    <t>Taxa de mobilização e desmobilização de equipamentos para execução de levantamento topográfico</t>
  </si>
  <si>
    <t>01.20.010</t>
  </si>
  <si>
    <t>TX</t>
  </si>
  <si>
    <t>Projeto executivo de arquitetura em formato A1</t>
  </si>
  <si>
    <t>01.17.031</t>
  </si>
  <si>
    <t>Placa de identificação para obra</t>
  </si>
  <si>
    <t>02.08.020</t>
  </si>
  <si>
    <t>Aterro mecanizado por compensação, solo de 1ª categoria em campo aberto, sem compactação do aterro</t>
  </si>
  <si>
    <t>07.12.040</t>
  </si>
  <si>
    <t>placa 2,00 x 1,50 m</t>
  </si>
  <si>
    <t>Regularização e compactação mecanizada de superfície, sem controle do proctor normal</t>
  </si>
  <si>
    <t>54.01.010</t>
  </si>
  <si>
    <t>Execução de passeio (calçada) ou piso de concreto moldado in loco, usinado, acabamento convencional, não armado</t>
  </si>
  <si>
    <t>SINAPI</t>
  </si>
  <si>
    <t xml:space="preserve">Tinta látex em massa, inclusive preparo </t>
  </si>
  <si>
    <t>3.4</t>
  </si>
  <si>
    <t>3.5</t>
  </si>
  <si>
    <t>3.6</t>
  </si>
  <si>
    <t>3.7</t>
  </si>
  <si>
    <t>ILUMINAÇÃO</t>
  </si>
  <si>
    <t>EQUIPAMENTOS</t>
  </si>
  <si>
    <t>Banco em concreto pré‐moldado, comprimento 150 cm</t>
  </si>
  <si>
    <t>35.04.120</t>
  </si>
  <si>
    <t>Centro de atividades em madeira rústica</t>
  </si>
  <si>
    <t>35.05.200</t>
  </si>
  <si>
    <t>Balanço duplo em madeira rústica</t>
  </si>
  <si>
    <t>35.05.210</t>
  </si>
  <si>
    <t>Gangorra dupla em madeira rústica</t>
  </si>
  <si>
    <t>35.05.220</t>
  </si>
  <si>
    <t>Gira‐gira em ferro com assento de madeira (8 lugares)</t>
  </si>
  <si>
    <t>35.05.240</t>
  </si>
  <si>
    <t>PAISAGISMO</t>
  </si>
  <si>
    <t>Plantio de grama esmeralda em placas (jardins e canteiros)</t>
  </si>
  <si>
    <t>34.02.100</t>
  </si>
  <si>
    <t>GA-01 GUIA LEVE OU SEPARADOR DE PISOS</t>
  </si>
  <si>
    <t>16.02.027</t>
  </si>
  <si>
    <t>06.11.040</t>
  </si>
  <si>
    <t>Reaterro manual apiloado sem controle de compactação</t>
  </si>
  <si>
    <t>39.03.170</t>
  </si>
  <si>
    <t>Cabo de cobre de 2,5 mm², isolamento 0,6/1 kV ‐ isolação em PVC 70°C</t>
  </si>
  <si>
    <t>39.03.174</t>
  </si>
  <si>
    <t>Cabo de cobre de 4 mm², isolamento 0,6/1 kV ‐ isolação em PVC 70°C.</t>
  </si>
  <si>
    <t>38.01.040</t>
  </si>
  <si>
    <t>Eletroduto de PVC rígido roscável de 3/4´ ‐ com acessórios</t>
  </si>
  <si>
    <t>01.20.811</t>
  </si>
  <si>
    <t>Levantamento planialmétrico cadastral com áreas até 50% de ocupação ‐ área até 20.000 m² (mínimo de 4.000 m²)</t>
  </si>
  <si>
    <t>3.8</t>
  </si>
  <si>
    <t>área da praça a ser ampliada</t>
  </si>
  <si>
    <t>PISO DE BORRACHA ESPORTIVO, ESPESSURA 15MM, ASSENTADO COM ARGAMASSA</t>
  </si>
  <si>
    <t>área piso playground</t>
  </si>
  <si>
    <t>CDHU VERSÃO 188 NÃO DESONERADO</t>
  </si>
  <si>
    <t>Limpeza mecanizada do terreno, inclusive troncos até 15 cm de diâmetro, com caminhão à disposição dentro e fora da obra, com transporte no raio de até 1 km</t>
  </si>
  <si>
    <t>02.09.040</t>
  </si>
  <si>
    <t>1.8</t>
  </si>
  <si>
    <t>41.10.430</t>
  </si>
  <si>
    <t>Poste telecônico reto em aço SAE 1010/1020 galvanizado a fogo, altura de 6,00 m</t>
  </si>
  <si>
    <t>41.11.440</t>
  </si>
  <si>
    <t>Suporte tubular de fixação em poste para 1 luminária tipo pétala</t>
  </si>
  <si>
    <t>41.11.704</t>
  </si>
  <si>
    <t>Luminária LED retangular para poste, fluxo luminoso de 14083 lm, eficiência mínima 135 lm/W ‐ potência de 104 W</t>
  </si>
  <si>
    <t>40.02.060</t>
  </si>
  <si>
    <t>Caixa de passagem em chapa, com tampa parafusada, 200 x 200 x 100 mm</t>
  </si>
  <si>
    <t>6 UNIDADES</t>
  </si>
  <si>
    <t>QUADRA DE AREIA</t>
  </si>
  <si>
    <t>FUNDAÇÃO</t>
  </si>
  <si>
    <t>02.10.050</t>
  </si>
  <si>
    <t>Locação para muros, cercas e alambrados</t>
  </si>
  <si>
    <t>12.01.021</t>
  </si>
  <si>
    <t>Broca em concreto armado diâmetro de 20 cm - completa</t>
  </si>
  <si>
    <t>PREPARO DE FUNDO DE VALA COM LARGURA MENOR QUE 1,5 M (ACERTO DO SOLO NATURAL). AF_08/2020</t>
  </si>
  <si>
    <t>Concreto usinado, fck = 25 MPa</t>
  </si>
  <si>
    <t>Armadura em barra de aço CA-50 (A ou B) fyk = 500 MPa</t>
  </si>
  <si>
    <t>PILARES OU PILARETES</t>
  </si>
  <si>
    <t>PISO QUADRA</t>
  </si>
  <si>
    <t>07.01.020</t>
  </si>
  <si>
    <t>Escavação e carga mecanizada em solo de 1ª categoria, em campo aberto</t>
  </si>
  <si>
    <t>54.01.210</t>
  </si>
  <si>
    <t>Base de brita graduada</t>
  </si>
  <si>
    <t>54.01.220</t>
  </si>
  <si>
    <t>Base de bica corrida</t>
  </si>
  <si>
    <t>11.18.180</t>
  </si>
  <si>
    <t>Colchão de areia</t>
  </si>
  <si>
    <t>ALVENARIA</t>
  </si>
  <si>
    <t>14.04.220</t>
  </si>
  <si>
    <t>Alvenaria de bloco cerâmico de vedação, uso revestido, de 19 cm</t>
  </si>
  <si>
    <t>DRENAGEM</t>
  </si>
  <si>
    <t>46.13.020</t>
  </si>
  <si>
    <t>Tubo em polietileno de alta densidade corrugado perfurado, DN= 4´, inclusive conexões</t>
  </si>
  <si>
    <t>08.05.190</t>
  </si>
  <si>
    <t>Manta geotêxtil com resistência à tração longitudinal de 16kN/m e transversal de 14kN/m</t>
  </si>
  <si>
    <t>ALAMBRADO</t>
  </si>
  <si>
    <t>34.05.270</t>
  </si>
  <si>
    <t>Alambrado em tela de aço galvanizado de 2´, montantes metálicos retos</t>
  </si>
  <si>
    <t>24.02.100</t>
  </si>
  <si>
    <t>Portão tubular em tela de aço galvanizado até 2,50 m de altura, completo</t>
  </si>
  <si>
    <t>3.9</t>
  </si>
  <si>
    <t>3.10</t>
  </si>
  <si>
    <t>3.11</t>
  </si>
  <si>
    <t>6.1.1</t>
  </si>
  <si>
    <t>6.1.1.1</t>
  </si>
  <si>
    <t>6.1.1.2</t>
  </si>
  <si>
    <t>6.1.1.3</t>
  </si>
  <si>
    <t>6.1.1.4</t>
  </si>
  <si>
    <t>6.1.1.5</t>
  </si>
  <si>
    <t>6.1.1.6</t>
  </si>
  <si>
    <t>6.1.1.7</t>
  </si>
  <si>
    <t>6.1.2</t>
  </si>
  <si>
    <t>concreto * 70</t>
  </si>
  <si>
    <t>concreto * 100</t>
  </si>
  <si>
    <t>115 m</t>
  </si>
  <si>
    <t>0,15 * 0,15 * 115 m</t>
  </si>
  <si>
    <t>115 m * 0,60</t>
  </si>
  <si>
    <t>6.1.1.8</t>
  </si>
  <si>
    <t>6.1.1.9</t>
  </si>
  <si>
    <t>6.1.2.1</t>
  </si>
  <si>
    <t>6.1.2.2</t>
  </si>
  <si>
    <t>6.1.2.3</t>
  </si>
  <si>
    <t>6.1.2.4</t>
  </si>
  <si>
    <t>6.2.1</t>
  </si>
  <si>
    <t>6.2.2</t>
  </si>
  <si>
    <t>6.2.3</t>
  </si>
  <si>
    <t>6.2.4</t>
  </si>
  <si>
    <t>6.2.5</t>
  </si>
  <si>
    <t>6.3.1</t>
  </si>
  <si>
    <t>6.3.2</t>
  </si>
  <si>
    <t>6.3.3</t>
  </si>
  <si>
    <t>6.4.1</t>
  </si>
  <si>
    <t>6.4.2</t>
  </si>
  <si>
    <t>6.4.3</t>
  </si>
  <si>
    <t>6.5.1</t>
  </si>
  <si>
    <t>6.5.2</t>
  </si>
  <si>
    <t>SINAPI OUT/2022 NÃO DESONERADO</t>
  </si>
  <si>
    <t>FDE OUT/2022 NÃO DESONERADO</t>
  </si>
  <si>
    <t>ILUMINAÇÃO QUADRA</t>
  </si>
  <si>
    <t>6.6.1</t>
  </si>
  <si>
    <t>6.6.2</t>
  </si>
  <si>
    <t>41.10.340</t>
  </si>
  <si>
    <t>41.12.210</t>
  </si>
  <si>
    <t>Projetor LED modular, fluxo luminoso de 26294 lm, eficiência mínima de 125 l/W - 150 W/200 W</t>
  </si>
  <si>
    <t>40.11.010</t>
  </si>
  <si>
    <t>Relé fotoelétrico 50/60 Hz, 110/220 V, 1200 VA, completo</t>
  </si>
  <si>
    <t>3.12</t>
  </si>
  <si>
    <t>Caixa de medição externa tipo ´N´ (1300 x 1200 x 270) mm, padrão Concessionárias</t>
  </si>
  <si>
    <t>36.03.050</t>
  </si>
  <si>
    <t>3.13</t>
  </si>
  <si>
    <t>37.04.250</t>
  </si>
  <si>
    <t>Quadro de distribuição universal de sobrepor, para disjuntores 16 DIN / 12 Bolt-on - 150 A - sem componentes</t>
  </si>
  <si>
    <t>37.13.630</t>
  </si>
  <si>
    <t>Disjuntor termomagnético, bipolar 220/380 V, corrente de 10 A até 50 A</t>
  </si>
  <si>
    <t>6.6.3</t>
  </si>
  <si>
    <t>6.6.4</t>
  </si>
  <si>
    <t xml:space="preserve">Poste telecônico reto em aço SAE 1010/1020 galvanizado a fogo, altura de 8,00 m </t>
  </si>
  <si>
    <t>CONSTRUÇÃO DE ÁREA DE LAZER</t>
  </si>
  <si>
    <t>área piso concreto, intertravado e piso playground</t>
  </si>
  <si>
    <t>travamento intertravado e piso borracha</t>
  </si>
  <si>
    <t>MURETA</t>
  </si>
  <si>
    <t>7.2</t>
  </si>
  <si>
    <t>7.3</t>
  </si>
  <si>
    <t>7.4</t>
  </si>
  <si>
    <t>7.5</t>
  </si>
  <si>
    <t>7.6</t>
  </si>
  <si>
    <t>7.7</t>
  </si>
  <si>
    <t>concreto * 60</t>
  </si>
  <si>
    <t>2.5</t>
  </si>
  <si>
    <t>Pavimentação em lajota de concreto 35 MPa, espessura 6 cm, cor natural, tipos: raquete, retangular, sextavado e 16 faces, com rejunte em areia</t>
  </si>
  <si>
    <t>54.04.340</t>
  </si>
  <si>
    <t>LOCAL: RUA SANTA CRUZ COM RUA CAMILO DE ARRUDA</t>
  </si>
  <si>
    <t>área piso concreto 80 * 0,07</t>
  </si>
  <si>
    <t>17 unidades luminárias em LED</t>
  </si>
  <si>
    <t>0,50*0,15*100 m</t>
  </si>
  <si>
    <t>0,15*0,15*100 M</t>
  </si>
  <si>
    <t>0,35*0,15*100 m</t>
  </si>
  <si>
    <t>0,20*0,15*100 m</t>
  </si>
  <si>
    <t>perímetro 12 + 20 + 12 + 20</t>
  </si>
  <si>
    <t>21 unidades 2 metros profundidade</t>
  </si>
  <si>
    <t>64 m * 0,20 * 0,30</t>
  </si>
  <si>
    <t xml:space="preserve">64 m * 0,20 </t>
  </si>
  <si>
    <t>64 m * 0,20 * 0,05</t>
  </si>
  <si>
    <t>64 m * 0,30 * 2 lados</t>
  </si>
  <si>
    <t>64m * 0,20 * 0,30</t>
  </si>
  <si>
    <t>21 pilares 0,20 * 0,20 * 1,00</t>
  </si>
  <si>
    <t>0,40 * 1,00 * 21</t>
  </si>
  <si>
    <t>0,20 * 0,20 * * 1,00 * 21 unid</t>
  </si>
  <si>
    <t>12 * 20 * 0,60 (profundidade)</t>
  </si>
  <si>
    <t>12 * 20</t>
  </si>
  <si>
    <t>12 * 20 * 0,05</t>
  </si>
  <si>
    <t>12 * 20 * 0,5 prof</t>
  </si>
  <si>
    <t>64 m * 0,60 altura + 61 * 0,40 altura</t>
  </si>
  <si>
    <t>61 m * 0,40 * 2</t>
  </si>
  <si>
    <t>12 + 12+ 18,5 + 18,5 * 4,00 m altura</t>
  </si>
  <si>
    <t>comprimento muretas: 51,70 m * 0,15 * 0,20 (h) + 14,10 m * 0,15 * 0,20 (h)</t>
  </si>
  <si>
    <t>65,80 * 0,15 * 0,05</t>
  </si>
  <si>
    <t>concreto: 51,70 * 0,15 * 0,60 (h) 0,20 abaixo solo e 0,4 acima solo + 14,10 * 0,15 * 0,40 (h) 0,20 abaixo solo e 0,2 acima solo</t>
  </si>
  <si>
    <t>51,70 * 0,60 * 2  + 14,10 * 0,40 * 2</t>
  </si>
  <si>
    <t>51,70 * 0,40 * 2  + 14,10 * 0,20 * 2</t>
  </si>
  <si>
    <t>Retirada de poste ou sistema de sustentação para alambrado ou fechamento</t>
  </si>
  <si>
    <t>04.09.140</t>
  </si>
  <si>
    <t>Retirada de entelamento metálico em gera</t>
  </si>
  <si>
    <t>04.09.160</t>
  </si>
  <si>
    <t>Retirada de fechamento em placas pré‐moldadas, inclusive pilares</t>
  </si>
  <si>
    <t>04.01.080</t>
  </si>
  <si>
    <t>Demolição manual de alvenaria de elevação ou elemento vazado, incluindo revestimento</t>
  </si>
  <si>
    <t>03.02.040</t>
  </si>
  <si>
    <t>Remoção de entulho separado de obra com caçamba metálica ‐ terra, alvenaria, concreto, argamassa, madeira, papel, plástico ou metal</t>
  </si>
  <si>
    <t>05.07.040</t>
  </si>
  <si>
    <t>1.7</t>
  </si>
  <si>
    <t>1.9</t>
  </si>
  <si>
    <t>1.10</t>
  </si>
  <si>
    <t>1.11</t>
  </si>
  <si>
    <t>SINAPI INSUMOS</t>
  </si>
  <si>
    <t>Pilar quadrado não aparelhado 20 X 20 cm em macaranduba, angelim ou equivalente da região - bruta</t>
  </si>
  <si>
    <t>Viga não aparelhado 6 X 20 cm em macaranduba, angelim ou equivalente da região - bruta</t>
  </si>
  <si>
    <t>Viga não aparelhado 6 X 16 cm em macaranduba, angelim ou equivalente da região - bruta</t>
  </si>
  <si>
    <t>15.20.060</t>
  </si>
  <si>
    <t>Recolocação de peças lineares em madeira com seção superior a 60 cm²</t>
  </si>
  <si>
    <t>33.05.330</t>
  </si>
  <si>
    <t>Verniz em superfície de madeira</t>
  </si>
  <si>
    <t>8.</t>
  </si>
  <si>
    <t>PERGOLADOS</t>
  </si>
  <si>
    <t>8.1</t>
  </si>
  <si>
    <t>8.2</t>
  </si>
  <si>
    <t>8.3</t>
  </si>
  <si>
    <t>8.4</t>
  </si>
  <si>
    <t>8.5</t>
  </si>
  <si>
    <t>8.6</t>
  </si>
  <si>
    <t>8.7</t>
  </si>
  <si>
    <t>8.8</t>
  </si>
  <si>
    <t>montagem da estrutura do pergolado</t>
  </si>
  <si>
    <t>(2,50 * 0,80 * 8) + (0,52 * 2,40 * 2 * 2 ) + (0,44*3,50*13*2)</t>
  </si>
  <si>
    <t>9.</t>
  </si>
  <si>
    <t>MUROS DE DIVISA</t>
  </si>
  <si>
    <t>MURETA PARA CANTEIROS</t>
  </si>
  <si>
    <t>movimentação de terra para acerto do terreno                                estimado área terreno/2 * 0,50 m</t>
  </si>
  <si>
    <t>39,80 m * 2,50 (h)</t>
  </si>
  <si>
    <t>20,90 M * 2,00 ( demolição muro em placas)</t>
  </si>
  <si>
    <t>MURO 15,70 *2,50 (5) + mureta alambrado 16,00 * 0,50 (h)</t>
  </si>
  <si>
    <t xml:space="preserve">1,50 * 4,00 </t>
  </si>
  <si>
    <t>55,22 (comprimento muro) *0,30 * 0,20</t>
  </si>
  <si>
    <t>55,22 * 0,20</t>
  </si>
  <si>
    <t>55,22 * 0,20 * 0,05</t>
  </si>
  <si>
    <t>55,22 * 0,30 * 2</t>
  </si>
  <si>
    <t>28 brocas - 2,00 m profundidade</t>
  </si>
  <si>
    <t>55,22 * 2,20 m altura</t>
  </si>
  <si>
    <t>121,48 * 2 (muro  construir) + 13,30 * 5,00</t>
  </si>
  <si>
    <t>9.1</t>
  </si>
  <si>
    <t>9.2</t>
  </si>
  <si>
    <t>9.3</t>
  </si>
  <si>
    <t>ALVENARIA E REVESTIMENTO</t>
  </si>
  <si>
    <t>0,40 * 2,20 * 28</t>
  </si>
  <si>
    <t>0,20 * 0,20 * * 2,20 * 28 unid</t>
  </si>
  <si>
    <t>28 pilares 0,20 * 0,20 * 2,20 ALTURA</t>
  </si>
  <si>
    <t>10.</t>
  </si>
  <si>
    <t>MURO ARRIMO</t>
  </si>
  <si>
    <t>10.1</t>
  </si>
  <si>
    <t>10.2</t>
  </si>
  <si>
    <t>10.3</t>
  </si>
  <si>
    <t>11 brocas - 2,00 m profundidade</t>
  </si>
  <si>
    <t>22,00 (comprimento muro) *0,30 * 0,20</t>
  </si>
  <si>
    <t>22,00* 0,20</t>
  </si>
  <si>
    <t>22 * 0,20 * 0,05</t>
  </si>
  <si>
    <t>22,00 * 0,30 * 2</t>
  </si>
  <si>
    <t>22,00(comprimento muro) *0,30 * 0,20</t>
  </si>
  <si>
    <t>22 (comprimento muro) *0,30 * 0,20</t>
  </si>
  <si>
    <t>11 pilares 0,20 * 0,20 * 1,50 ALTURA</t>
  </si>
  <si>
    <t>0,40 * 1,50 * 11</t>
  </si>
  <si>
    <t>0,20 * 0,20 * * 1,50 * 11 unid</t>
  </si>
  <si>
    <t>Alvenaria de elevação de 1 tijolo maciço comum</t>
  </si>
  <si>
    <t>14.02.040</t>
  </si>
  <si>
    <t>22 * 1,50 m altura</t>
  </si>
  <si>
    <t>22 * 1,50</t>
  </si>
  <si>
    <t>22* 1,50</t>
  </si>
  <si>
    <t>1.12</t>
  </si>
  <si>
    <t>Demolição manual de concreto simples</t>
  </si>
  <si>
    <t>03.01.020</t>
  </si>
  <si>
    <t>demolição calçada existente 80,00 * 0,07</t>
  </si>
  <si>
    <t>alvenaria 11,81 m³ + concreto 5,60</t>
  </si>
  <si>
    <t>6.3.4</t>
  </si>
  <si>
    <t>9.1.1</t>
  </si>
  <si>
    <t>9.1.2</t>
  </si>
  <si>
    <t>9.1.8</t>
  </si>
  <si>
    <t>9.1.6</t>
  </si>
  <si>
    <t>9.1.3</t>
  </si>
  <si>
    <t>9.1.4</t>
  </si>
  <si>
    <t>9.1.5</t>
  </si>
  <si>
    <t>9.1.7</t>
  </si>
  <si>
    <t>9.2.1</t>
  </si>
  <si>
    <t>9.2.2</t>
  </si>
  <si>
    <t>9.2.3</t>
  </si>
  <si>
    <t>9.2.4</t>
  </si>
  <si>
    <t>9.3.1</t>
  </si>
  <si>
    <t>9.3.2</t>
  </si>
  <si>
    <t>9.3.3</t>
  </si>
  <si>
    <t>9.3.4</t>
  </si>
  <si>
    <t>10.1.1</t>
  </si>
  <si>
    <t>10.1.2</t>
  </si>
  <si>
    <t>10.1.3</t>
  </si>
  <si>
    <t>10.1.4</t>
  </si>
  <si>
    <t>10.1.7</t>
  </si>
  <si>
    <t>10.1.5</t>
  </si>
  <si>
    <t>10.1.6</t>
  </si>
  <si>
    <t>10.1.8</t>
  </si>
  <si>
    <t>10.2.1</t>
  </si>
  <si>
    <t>10.2.2</t>
  </si>
  <si>
    <t>10.2.3</t>
  </si>
  <si>
    <t>10.2.4</t>
  </si>
  <si>
    <t>10.3.1</t>
  </si>
  <si>
    <t>10.3.2</t>
  </si>
  <si>
    <t>10.3.3</t>
  </si>
  <si>
    <t>10.3.4</t>
  </si>
  <si>
    <t>Tietê, 16 de janeiro de 2023.</t>
  </si>
  <si>
    <t>TOTAL</t>
  </si>
  <si>
    <t>escavação para chumbamento dos pilares: 1,00 * 0,50 * 0,50 * 4 unidades</t>
  </si>
  <si>
    <t>concreto chumbamento dos pilares: 1,00 * 0,50 * 0,50 * 4 unidades</t>
  </si>
  <si>
    <t xml:space="preserve">concreto chumbamento dos pilares: 1,00 * 0,50 * 0,50 * 4 unidades </t>
  </si>
  <si>
    <t xml:space="preserve">4 pilares * 3,50 (h) </t>
  </si>
  <si>
    <t xml:space="preserve">2 vigas * 2,40 m </t>
  </si>
  <si>
    <t xml:space="preserve">13 vigas * 3,50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</si>
</sst>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77" formatCode="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 tint="-0.24997000396251678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rgb="FFCCCCCC"/>
      </right>
      <top style="thin"/>
      <bottom style="thin"/>
    </border>
    <border>
      <left style="thin">
        <color rgb="FFCCCCCC"/>
      </left>
      <right style="thin">
        <color rgb="FFCCCCCC"/>
      </right>
      <top style="thin"/>
      <bottom style="thin"/>
    </border>
    <border>
      <left style="thin">
        <color rgb="FFCCCCCC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>
        <color rgb="FFCCCCCC"/>
      </right>
      <top style="thin"/>
      <bottom style="thin"/>
    </border>
    <border>
      <left style="thin">
        <color rgb="FFCCCCCC"/>
      </left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2">
    <xf numFmtId="0" fontId="0" fillId="0" borderId="0" xfId="0"/>
    <xf numFmtId="0" fontId="0" fillId="0" borderId="1" xfId="0" applyBorder="1"/>
    <xf numFmtId="0" fontId="11" fillId="2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2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4" fontId="10" fillId="3" borderId="1" xfId="20" applyFont="1" applyFill="1" applyBorder="1" applyAlignment="1" applyProtection="1">
      <alignment horizontal="left" vertical="center" wrapText="1"/>
      <protection locked="0"/>
    </xf>
    <xf numFmtId="44" fontId="0" fillId="0" borderId="1" xfId="0" applyNumberFormat="1" applyBorder="1" applyAlignment="1">
      <alignment vertical="center"/>
    </xf>
    <xf numFmtId="44" fontId="10" fillId="3" borderId="1" xfId="20" applyFont="1" applyFill="1" applyBorder="1" applyAlignment="1" applyProtection="1">
      <alignment horizontal="right" vertical="center" wrapText="1"/>
      <protection locked="0"/>
    </xf>
    <xf numFmtId="0" fontId="10" fillId="3" borderId="2" xfId="0" applyFont="1" applyFill="1" applyBorder="1" applyAlignment="1" applyProtection="1">
      <alignment horizontal="left" vertical="top" wrapText="1"/>
      <protection locked="0"/>
    </xf>
    <xf numFmtId="0" fontId="12" fillId="2" borderId="3" xfId="0" applyFont="1" applyFill="1" applyBorder="1"/>
    <xf numFmtId="0" fontId="0" fillId="0" borderId="0" xfId="0" applyAlignment="1">
      <alignment vertical="center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vertical="top"/>
      <protection/>
    </xf>
    <xf numFmtId="1" fontId="8" fillId="0" borderId="0" xfId="0" applyNumberFormat="1" applyFont="1" applyFill="1" applyBorder="1" applyAlignment="1" applyProtection="1">
      <alignment vertical="top"/>
      <protection/>
    </xf>
    <xf numFmtId="0" fontId="13" fillId="0" borderId="3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vertical="center" wrapText="1"/>
    </xf>
    <xf numFmtId="164" fontId="14" fillId="2" borderId="5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 applyProtection="1">
      <alignment vertical="top"/>
      <protection/>
    </xf>
    <xf numFmtId="3" fontId="2" fillId="0" borderId="0" xfId="0" applyNumberFormat="1" applyFont="1" applyFill="1" applyBorder="1" applyAlignment="1" applyProtection="1">
      <alignment vertical="top"/>
      <protection/>
    </xf>
    <xf numFmtId="14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4" fontId="10" fillId="0" borderId="1" xfId="20" applyFont="1" applyFill="1" applyBorder="1" applyAlignment="1" applyProtection="1">
      <alignment horizontal="left" vertical="center" wrapText="1"/>
      <protection locked="0"/>
    </xf>
    <xf numFmtId="44" fontId="10" fillId="0" borderId="1" xfId="20" applyFont="1" applyFill="1" applyBorder="1" applyAlignment="1" applyProtection="1">
      <alignment horizontal="right" vertical="center" wrapText="1"/>
      <protection locked="0"/>
    </xf>
    <xf numFmtId="0" fontId="0" fillId="0" borderId="1" xfId="0" applyFill="1" applyBorder="1" applyAlignment="1">
      <alignment wrapText="1"/>
    </xf>
    <xf numFmtId="0" fontId="0" fillId="0" borderId="0" xfId="0" applyBorder="1"/>
    <xf numFmtId="0" fontId="0" fillId="0" borderId="2" xfId="0" applyFill="1" applyBorder="1" applyAlignment="1">
      <alignment wrapText="1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2" fontId="0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2" fontId="0" fillId="0" borderId="0" xfId="0" applyNumberFormat="1"/>
    <xf numFmtId="2" fontId="0" fillId="2" borderId="1" xfId="0" applyNumberFormat="1" applyFill="1" applyBorder="1"/>
    <xf numFmtId="2" fontId="0" fillId="0" borderId="1" xfId="0" applyNumberFormat="1" applyFill="1" applyBorder="1"/>
    <xf numFmtId="2" fontId="0" fillId="0" borderId="2" xfId="0" applyNumberFormat="1" applyFill="1" applyBorder="1"/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2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44" fontId="11" fillId="2" borderId="7" xfId="20" applyFont="1" applyFill="1" applyBorder="1" applyAlignment="1" applyProtection="1">
      <alignment horizontal="left" vertical="center" wrapText="1"/>
      <protection locked="0"/>
    </xf>
    <xf numFmtId="44" fontId="11" fillId="2" borderId="8" xfId="20" applyFont="1" applyFill="1" applyBorder="1" applyAlignment="1" applyProtection="1">
      <alignment horizontal="right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2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2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44" fontId="11" fillId="2" borderId="10" xfId="20" applyFont="1" applyFill="1" applyBorder="1" applyAlignment="1" applyProtection="1">
      <alignment horizontal="left" vertical="center" wrapText="1"/>
      <protection locked="0"/>
    </xf>
    <xf numFmtId="44" fontId="12" fillId="2" borderId="10" xfId="0" applyNumberFormat="1" applyFont="1" applyFill="1" applyBorder="1" applyAlignment="1">
      <alignment vertical="center"/>
    </xf>
    <xf numFmtId="44" fontId="11" fillId="2" borderId="11" xfId="20" applyFont="1" applyFill="1" applyBorder="1" applyAlignment="1" applyProtection="1">
      <alignment horizontal="righ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2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44" fontId="11" fillId="2" borderId="3" xfId="20" applyFont="1" applyFill="1" applyBorder="1" applyAlignment="1" applyProtection="1">
      <alignment horizontal="left" vertical="center" wrapText="1"/>
      <protection locked="0"/>
    </xf>
    <xf numFmtId="44" fontId="12" fillId="2" borderId="3" xfId="0" applyNumberFormat="1" applyFont="1" applyFill="1" applyBorder="1" applyAlignment="1">
      <alignment vertical="center"/>
    </xf>
    <xf numFmtId="44" fontId="11" fillId="2" borderId="5" xfId="20" applyFont="1" applyFill="1" applyBorder="1" applyAlignment="1" applyProtection="1">
      <alignment horizontal="right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/>
    </xf>
    <xf numFmtId="49" fontId="6" fillId="3" borderId="0" xfId="0" applyNumberFormat="1" applyFont="1" applyFill="1" applyAlignment="1" applyProtection="1">
      <alignment horizontal="center" vertical="center"/>
      <protection/>
    </xf>
    <xf numFmtId="10" fontId="7" fillId="3" borderId="0" xfId="0" applyNumberFormat="1" applyFont="1" applyFill="1" applyAlignment="1" applyProtection="1">
      <alignment horizontal="center" vertical="center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44" fontId="0" fillId="0" borderId="1" xfId="0" applyNumberFormat="1" applyFill="1" applyBorder="1" applyAlignment="1">
      <alignment vertical="center"/>
    </xf>
    <xf numFmtId="0" fontId="10" fillId="3" borderId="12" xfId="0" applyFont="1" applyFill="1" applyBorder="1" applyAlignment="1" applyProtection="1">
      <alignment horizontal="left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44" fontId="10" fillId="3" borderId="12" xfId="20" applyFont="1" applyFill="1" applyBorder="1" applyAlignment="1" applyProtection="1">
      <alignment horizontal="left" vertical="center" wrapText="1"/>
      <protection locked="0"/>
    </xf>
    <xf numFmtId="44" fontId="10" fillId="3" borderId="12" xfId="20" applyFont="1" applyFill="1" applyBorder="1" applyAlignment="1" applyProtection="1">
      <alignment horizontal="right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vertical="center"/>
    </xf>
    <xf numFmtId="0" fontId="0" fillId="0" borderId="0" xfId="0" applyFont="1"/>
    <xf numFmtId="0" fontId="2" fillId="3" borderId="0" xfId="0" applyFont="1" applyFill="1" applyAlignment="1" applyProtection="1">
      <alignment horizontal="left" vertical="center"/>
      <protection/>
    </xf>
    <xf numFmtId="49" fontId="3" fillId="3" borderId="0" xfId="0" applyNumberFormat="1" applyFont="1" applyFill="1" applyAlignment="1" applyProtection="1">
      <alignment horizontal="right" vertical="center"/>
      <protection/>
    </xf>
    <xf numFmtId="0" fontId="3" fillId="3" borderId="0" xfId="0" applyFont="1" applyFill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4" fontId="2" fillId="0" borderId="0" xfId="0" applyNumberFormat="1" applyFont="1" applyFill="1" applyBorder="1" applyAlignment="1" applyProtection="1">
      <alignment vertical="center"/>
      <protection/>
    </xf>
    <xf numFmtId="49" fontId="6" fillId="3" borderId="0" xfId="0" applyNumberFormat="1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9" fontId="6" fillId="3" borderId="0" xfId="0" applyNumberFormat="1" applyFont="1" applyFill="1" applyAlignment="1" applyProtection="1">
      <alignment horizontal="right" vertical="center"/>
      <protection/>
    </xf>
    <xf numFmtId="0" fontId="3" fillId="2" borderId="4" xfId="0" applyNumberFormat="1" applyFont="1" applyFill="1" applyBorder="1" applyAlignment="1" applyProtection="1">
      <alignment horizontal="left" vertical="center"/>
      <protection/>
    </xf>
    <xf numFmtId="4" fontId="2" fillId="2" borderId="5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3" borderId="0" xfId="0" applyNumberFormat="1" applyFont="1" applyFill="1" applyAlignment="1" applyProtection="1">
      <alignment vertical="center"/>
      <protection/>
    </xf>
    <xf numFmtId="49" fontId="7" fillId="3" borderId="0" xfId="0" applyNumberFormat="1" applyFont="1" applyFill="1" applyAlignment="1" applyProtection="1">
      <alignment horizontal="center" vertical="center"/>
      <protection/>
    </xf>
    <xf numFmtId="17" fontId="3" fillId="2" borderId="4" xfId="0" applyNumberFormat="1" applyFont="1" applyFill="1" applyBorder="1" applyAlignment="1" applyProtection="1">
      <alignment horizontal="left" vertical="center"/>
      <protection/>
    </xf>
    <xf numFmtId="49" fontId="3" fillId="3" borderId="0" xfId="0" applyNumberFormat="1" applyFont="1" applyFill="1" applyAlignment="1" applyProtection="1">
      <alignment horizontal="center" vertical="center"/>
      <protection/>
    </xf>
    <xf numFmtId="4" fontId="5" fillId="2" borderId="1" xfId="0" applyNumberFormat="1" applyFont="1" applyFill="1" applyBorder="1" applyAlignment="1" applyProtection="1">
      <alignment horizontal="right" vertical="center"/>
      <protection/>
    </xf>
    <xf numFmtId="10" fontId="3" fillId="3" borderId="12" xfId="0" applyNumberFormat="1" applyFont="1" applyFill="1" applyBorder="1" applyAlignment="1" applyProtection="1">
      <alignment horizontal="center" vertical="center"/>
      <protection/>
    </xf>
    <xf numFmtId="17" fontId="3" fillId="3" borderId="1" xfId="0" applyNumberFormat="1" applyFont="1" applyFill="1" applyBorder="1" applyAlignment="1" applyProtection="1">
      <alignment horizontal="center" vertical="center"/>
      <protection/>
    </xf>
    <xf numFmtId="0" fontId="9" fillId="2" borderId="1" xfId="0" applyFont="1" applyFill="1" applyBorder="1" applyAlignment="1" applyProtection="1">
      <alignment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wrapText="1"/>
    </xf>
    <xf numFmtId="4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3" fillId="3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2" fontId="0" fillId="0" borderId="2" xfId="0" applyNumberFormat="1" applyFont="1" applyBorder="1" applyAlignment="1">
      <alignment horizontal="center" vertical="center"/>
    </xf>
    <xf numFmtId="44" fontId="0" fillId="0" borderId="2" xfId="0" applyNumberFormat="1" applyFont="1" applyBorder="1" applyAlignment="1">
      <alignment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left" vertical="top" wrapText="1"/>
      <protection locked="0"/>
    </xf>
    <xf numFmtId="2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2" fontId="0" fillId="0" borderId="1" xfId="0" applyNumberForma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2" fontId="0" fillId="2" borderId="0" xfId="0" applyNumberFormat="1" applyFill="1"/>
    <xf numFmtId="0" fontId="0" fillId="2" borderId="0" xfId="0" applyFill="1" applyAlignment="1">
      <alignment wrapText="1"/>
    </xf>
    <xf numFmtId="2" fontId="0" fillId="0" borderId="12" xfId="0" applyNumberFormat="1" applyBorder="1" applyAlignment="1">
      <alignment horizontal="center" vertical="center"/>
    </xf>
    <xf numFmtId="44" fontId="0" fillId="0" borderId="0" xfId="0" applyNumberFormat="1" applyFont="1"/>
    <xf numFmtId="2" fontId="0" fillId="0" borderId="13" xfId="0" applyNumberFormat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44" fontId="0" fillId="0" borderId="12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1" xfId="0" applyNumberFormat="1" applyFont="1" applyBorder="1" applyAlignment="1">
      <alignment vertical="center"/>
    </xf>
    <xf numFmtId="0" fontId="10" fillId="3" borderId="4" xfId="0" applyFont="1" applyFill="1" applyBorder="1" applyAlignment="1" applyProtection="1">
      <alignment horizontal="left" vertical="center" wrapText="1"/>
      <protection locked="0"/>
    </xf>
    <xf numFmtId="2" fontId="13" fillId="0" borderId="1" xfId="0" applyNumberFormat="1" applyFont="1" applyFill="1" applyBorder="1" applyAlignment="1">
      <alignment horizontal="center" vertical="center" wrapText="1"/>
    </xf>
    <xf numFmtId="2" fontId="0" fillId="0" borderId="2" xfId="0" applyNumberFormat="1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center" vertical="center"/>
    </xf>
    <xf numFmtId="2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4" fontId="10" fillId="3" borderId="2" xfId="20" applyFont="1" applyFill="1" applyBorder="1" applyAlignment="1" applyProtection="1">
      <alignment horizontal="left" vertical="center" wrapText="1"/>
      <protection locked="0"/>
    </xf>
    <xf numFmtId="44" fontId="0" fillId="0" borderId="2" xfId="0" applyNumberFormat="1" applyBorder="1" applyAlignment="1">
      <alignment vertical="center"/>
    </xf>
    <xf numFmtId="44" fontId="10" fillId="3" borderId="2" xfId="20" applyFont="1" applyFill="1" applyBorder="1" applyAlignment="1" applyProtection="1">
      <alignment horizontal="right" vertical="center" wrapText="1"/>
      <protection locked="0"/>
    </xf>
    <xf numFmtId="0" fontId="10" fillId="4" borderId="13" xfId="0" applyFont="1" applyFill="1" applyBorder="1" applyAlignment="1" applyProtection="1">
      <alignment horizontal="left" vertical="center" wrapText="1"/>
      <protection locked="0"/>
    </xf>
    <xf numFmtId="0" fontId="12" fillId="4" borderId="10" xfId="0" applyFont="1" applyFill="1" applyBorder="1" applyAlignment="1">
      <alignment vertical="center"/>
    </xf>
    <xf numFmtId="0" fontId="0" fillId="4" borderId="0" xfId="0" applyFill="1" applyAlignment="1">
      <alignment horizontal="center"/>
    </xf>
    <xf numFmtId="2" fontId="0" fillId="4" borderId="0" xfId="0" applyNumberFormat="1" applyFill="1"/>
    <xf numFmtId="0" fontId="0" fillId="4" borderId="0" xfId="0" applyFill="1" applyAlignment="1">
      <alignment wrapText="1"/>
    </xf>
    <xf numFmtId="2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12" fillId="4" borderId="3" xfId="0" applyFont="1" applyFill="1" applyBorder="1" applyAlignment="1">
      <alignment vertical="center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4" fontId="10" fillId="0" borderId="1" xfId="20" applyNumberFormat="1" applyFont="1" applyFill="1" applyBorder="1" applyAlignment="1" applyProtection="1">
      <alignment horizontal="right" vertical="center" wrapText="1"/>
      <protection locked="0"/>
    </xf>
    <xf numFmtId="0" fontId="12" fillId="2" borderId="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2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44" fontId="11" fillId="0" borderId="7" xfId="20" applyFont="1" applyFill="1" applyBorder="1" applyAlignment="1" applyProtection="1">
      <alignment horizontal="left" vertical="center" wrapText="1"/>
      <protection locked="0"/>
    </xf>
    <xf numFmtId="44" fontId="11" fillId="0" borderId="8" xfId="20" applyFont="1" applyFill="1" applyBorder="1" applyAlignment="1" applyProtection="1">
      <alignment horizontal="right" vertical="center" wrapText="1"/>
      <protection locked="0"/>
    </xf>
    <xf numFmtId="0" fontId="0" fillId="0" borderId="3" xfId="0" applyFill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44" fontId="10" fillId="0" borderId="12" xfId="20" applyFont="1" applyFill="1" applyBorder="1" applyAlignment="1" applyProtection="1">
      <alignment horizontal="left" vertical="center" wrapText="1"/>
      <protection locked="0"/>
    </xf>
    <xf numFmtId="44" fontId="10" fillId="0" borderId="12" xfId="20" applyFont="1" applyFill="1" applyBorder="1" applyAlignment="1" applyProtection="1">
      <alignment horizontal="right" vertical="center" wrapText="1"/>
      <protection locked="0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wrapText="1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44" fontId="10" fillId="0" borderId="2" xfId="20" applyFont="1" applyFill="1" applyBorder="1" applyAlignment="1" applyProtection="1">
      <alignment horizontal="left" vertical="center" wrapText="1"/>
      <protection locked="0"/>
    </xf>
    <xf numFmtId="44" fontId="0" fillId="0" borderId="2" xfId="0" applyNumberFormat="1" applyFill="1" applyBorder="1" applyAlignment="1">
      <alignment vertical="center"/>
    </xf>
    <xf numFmtId="44" fontId="10" fillId="0" borderId="2" xfId="20" applyFont="1" applyFill="1" applyBorder="1" applyAlignment="1" applyProtection="1">
      <alignment horizontal="right" vertical="center" wrapText="1"/>
      <protection locked="0"/>
    </xf>
    <xf numFmtId="0" fontId="0" fillId="0" borderId="13" xfId="0" applyFill="1" applyBorder="1"/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11" fillId="0" borderId="10" xfId="20" applyFont="1" applyFill="1" applyBorder="1" applyAlignment="1" applyProtection="1">
      <alignment horizontal="left" vertical="center" wrapText="1"/>
      <protection locked="0"/>
    </xf>
    <xf numFmtId="44" fontId="12" fillId="0" borderId="10" xfId="0" applyNumberFormat="1" applyFont="1" applyFill="1" applyBorder="1" applyAlignment="1">
      <alignment vertical="center"/>
    </xf>
    <xf numFmtId="44" fontId="11" fillId="0" borderId="11" xfId="20" applyFont="1" applyFill="1" applyBorder="1" applyAlignment="1" applyProtection="1">
      <alignment horizontal="right" vertical="center" wrapText="1"/>
      <protection locked="0"/>
    </xf>
    <xf numFmtId="0" fontId="0" fillId="0" borderId="1" xfId="0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44" fontId="0" fillId="0" borderId="1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2" fontId="0" fillId="0" borderId="2" xfId="0" applyNumberFormat="1" applyFont="1" applyFill="1" applyBorder="1" applyAlignment="1">
      <alignment horizontal="center" vertical="center"/>
    </xf>
    <xf numFmtId="44" fontId="0" fillId="0" borderId="2" xfId="0" applyNumberFormat="1" applyFont="1" applyFill="1" applyBorder="1" applyAlignment="1">
      <alignment vertical="center"/>
    </xf>
    <xf numFmtId="0" fontId="0" fillId="0" borderId="5" xfId="0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2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44" fontId="11" fillId="0" borderId="3" xfId="20" applyFont="1" applyFill="1" applyBorder="1" applyAlignment="1" applyProtection="1">
      <alignment horizontal="left" vertical="center" wrapText="1"/>
      <protection locked="0"/>
    </xf>
    <xf numFmtId="44" fontId="12" fillId="0" borderId="3" xfId="0" applyNumberFormat="1" applyFont="1" applyFill="1" applyBorder="1" applyAlignment="1">
      <alignment vertical="center"/>
    </xf>
    <xf numFmtId="44" fontId="11" fillId="0" borderId="5" xfId="20" applyFont="1" applyFill="1" applyBorder="1" applyAlignment="1" applyProtection="1">
      <alignment horizontal="right" vertical="center" wrapText="1"/>
      <protection locked="0"/>
    </xf>
    <xf numFmtId="0" fontId="0" fillId="0" borderId="13" xfId="0" applyFill="1" applyBorder="1" applyAlignment="1">
      <alignment vertical="center" wrapText="1"/>
    </xf>
    <xf numFmtId="2" fontId="0" fillId="0" borderId="18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44" fontId="0" fillId="0" borderId="1" xfId="0" applyNumberFormat="1" applyFont="1" applyFill="1" applyBorder="1" applyAlignment="1">
      <alignment/>
    </xf>
    <xf numFmtId="44" fontId="0" fillId="0" borderId="1" xfId="0" applyNumberFormat="1" applyFill="1" applyBorder="1" applyAlignment="1">
      <alignment/>
    </xf>
    <xf numFmtId="44" fontId="12" fillId="2" borderId="1" xfId="0" applyNumberFormat="1" applyFont="1" applyFill="1" applyBorder="1" applyAlignment="1">
      <alignment vertical="center"/>
    </xf>
    <xf numFmtId="44" fontId="0" fillId="0" borderId="0" xfId="0" applyNumberFormat="1"/>
    <xf numFmtId="0" fontId="0" fillId="0" borderId="0" xfId="0" applyAlignment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3" borderId="0" xfId="0" applyFont="1" applyFill="1" applyAlignment="1" applyProtection="1">
      <alignment horizontal="left"/>
      <protection/>
    </xf>
    <xf numFmtId="4" fontId="4" fillId="2" borderId="4" xfId="0" applyNumberFormat="1" applyFont="1" applyFill="1" applyBorder="1" applyAlignment="1" applyProtection="1">
      <alignment horizontal="center" vertical="center"/>
      <protection/>
    </xf>
    <xf numFmtId="0" fontId="14" fillId="2" borderId="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493"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153</xdr:row>
      <xdr:rowOff>0</xdr:rowOff>
    </xdr:from>
    <xdr:ext cx="180975" cy="266700"/>
    <xdr:sp macro="" textlink="">
      <xdr:nvSpPr>
        <xdr:cNvPr id="2" name="CaixaDeTexto 1"/>
        <xdr:cNvSpPr txBox="1"/>
      </xdr:nvSpPr>
      <xdr:spPr>
        <a:xfrm>
          <a:off x="266700" y="826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0</xdr:col>
      <xdr:colOff>114300</xdr:colOff>
      <xdr:row>0</xdr:row>
      <xdr:rowOff>152400</xdr:rowOff>
    </xdr:from>
    <xdr:to>
      <xdr:col>12</xdr:col>
      <xdr:colOff>981075</xdr:colOff>
      <xdr:row>7</xdr:row>
      <xdr:rowOff>142875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52400"/>
          <a:ext cx="8963025" cy="14763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266700</xdr:colOff>
      <xdr:row>153</xdr:row>
      <xdr:rowOff>0</xdr:rowOff>
    </xdr:from>
    <xdr:ext cx="180975" cy="266700"/>
    <xdr:sp macro="" textlink="">
      <xdr:nvSpPr>
        <xdr:cNvPr id="4" name="CaixaDeTexto 3"/>
        <xdr:cNvSpPr txBox="1"/>
      </xdr:nvSpPr>
      <xdr:spPr>
        <a:xfrm>
          <a:off x="266700" y="826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153</xdr:row>
      <xdr:rowOff>0</xdr:rowOff>
    </xdr:from>
    <xdr:ext cx="180975" cy="266700"/>
    <xdr:sp macro="" textlink="">
      <xdr:nvSpPr>
        <xdr:cNvPr id="5" name="CaixaDeTexto 4"/>
        <xdr:cNvSpPr txBox="1"/>
      </xdr:nvSpPr>
      <xdr:spPr>
        <a:xfrm>
          <a:off x="266700" y="826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153</xdr:row>
      <xdr:rowOff>0</xdr:rowOff>
    </xdr:from>
    <xdr:ext cx="180975" cy="266700"/>
    <xdr:sp macro="" textlink="">
      <xdr:nvSpPr>
        <xdr:cNvPr id="6" name="CaixaDeTexto 5"/>
        <xdr:cNvSpPr txBox="1"/>
      </xdr:nvSpPr>
      <xdr:spPr>
        <a:xfrm>
          <a:off x="266700" y="826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9</xdr:col>
      <xdr:colOff>114300</xdr:colOff>
      <xdr:row>15</xdr:row>
      <xdr:rowOff>152400</xdr:rowOff>
    </xdr:from>
    <xdr:to>
      <xdr:col>9</xdr:col>
      <xdr:colOff>990600</xdr:colOff>
      <xdr:row>15</xdr:row>
      <xdr:rowOff>152400</xdr:rowOff>
    </xdr:to>
    <xdr:cxnSp macro="">
      <xdr:nvCxnSpPr>
        <xdr:cNvPr id="8" name="Conector reto 7"/>
        <xdr:cNvCxnSpPr/>
      </xdr:nvCxnSpPr>
      <xdr:spPr>
        <a:xfrm>
          <a:off x="4791075" y="3733800"/>
          <a:ext cx="87630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28</xdr:row>
      <xdr:rowOff>152400</xdr:rowOff>
    </xdr:from>
    <xdr:to>
      <xdr:col>10</xdr:col>
      <xdr:colOff>1066800</xdr:colOff>
      <xdr:row>28</xdr:row>
      <xdr:rowOff>152400</xdr:rowOff>
    </xdr:to>
    <xdr:cxnSp macro="">
      <xdr:nvCxnSpPr>
        <xdr:cNvPr id="9" name="Conector reto 8"/>
        <xdr:cNvCxnSpPr/>
      </xdr:nvCxnSpPr>
      <xdr:spPr>
        <a:xfrm>
          <a:off x="4819650" y="4200525"/>
          <a:ext cx="205740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34</xdr:row>
      <xdr:rowOff>152400</xdr:rowOff>
    </xdr:from>
    <xdr:to>
      <xdr:col>12</xdr:col>
      <xdr:colOff>876300</xdr:colOff>
      <xdr:row>34</xdr:row>
      <xdr:rowOff>152400</xdr:rowOff>
    </xdr:to>
    <xdr:cxnSp macro="">
      <xdr:nvCxnSpPr>
        <xdr:cNvPr id="10" name="Conector reto 9"/>
        <xdr:cNvCxnSpPr/>
      </xdr:nvCxnSpPr>
      <xdr:spPr>
        <a:xfrm>
          <a:off x="6010275" y="4695825"/>
          <a:ext cx="296227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114300</xdr:colOff>
      <xdr:row>48</xdr:row>
      <xdr:rowOff>161925</xdr:rowOff>
    </xdr:from>
    <xdr:to>
      <xdr:col>12</xdr:col>
      <xdr:colOff>990600</xdr:colOff>
      <xdr:row>48</xdr:row>
      <xdr:rowOff>161925</xdr:rowOff>
    </xdr:to>
    <xdr:cxnSp macro="">
      <xdr:nvCxnSpPr>
        <xdr:cNvPr id="12" name="Conector reto 11"/>
        <xdr:cNvCxnSpPr/>
      </xdr:nvCxnSpPr>
      <xdr:spPr>
        <a:xfrm>
          <a:off x="8210550" y="5181600"/>
          <a:ext cx="87630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123825</xdr:colOff>
      <xdr:row>54</xdr:row>
      <xdr:rowOff>142875</xdr:rowOff>
    </xdr:from>
    <xdr:to>
      <xdr:col>12</xdr:col>
      <xdr:colOff>1000125</xdr:colOff>
      <xdr:row>54</xdr:row>
      <xdr:rowOff>142875</xdr:rowOff>
    </xdr:to>
    <xdr:cxnSp macro="">
      <xdr:nvCxnSpPr>
        <xdr:cNvPr id="13" name="Conector reto 12"/>
        <xdr:cNvCxnSpPr/>
      </xdr:nvCxnSpPr>
      <xdr:spPr>
        <a:xfrm>
          <a:off x="8220075" y="5638800"/>
          <a:ext cx="87630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161925</xdr:colOff>
      <xdr:row>56</xdr:row>
      <xdr:rowOff>142875</xdr:rowOff>
    </xdr:from>
    <xdr:to>
      <xdr:col>12</xdr:col>
      <xdr:colOff>914400</xdr:colOff>
      <xdr:row>56</xdr:row>
      <xdr:rowOff>152400</xdr:rowOff>
    </xdr:to>
    <xdr:cxnSp macro="">
      <xdr:nvCxnSpPr>
        <xdr:cNvPr id="14" name="Conector reto 13"/>
        <xdr:cNvCxnSpPr/>
      </xdr:nvCxnSpPr>
      <xdr:spPr>
        <a:xfrm>
          <a:off x="4838700" y="6143625"/>
          <a:ext cx="4171950" cy="9525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133350</xdr:colOff>
      <xdr:row>96</xdr:row>
      <xdr:rowOff>133350</xdr:rowOff>
    </xdr:from>
    <xdr:to>
      <xdr:col>9</xdr:col>
      <xdr:colOff>1009650</xdr:colOff>
      <xdr:row>96</xdr:row>
      <xdr:rowOff>133350</xdr:rowOff>
    </xdr:to>
    <xdr:cxnSp macro="">
      <xdr:nvCxnSpPr>
        <xdr:cNvPr id="16" name="Conector reto 15"/>
        <xdr:cNvCxnSpPr/>
      </xdr:nvCxnSpPr>
      <xdr:spPr>
        <a:xfrm>
          <a:off x="4810125" y="6619875"/>
          <a:ext cx="87630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114300</xdr:colOff>
      <xdr:row>104</xdr:row>
      <xdr:rowOff>152400</xdr:rowOff>
    </xdr:from>
    <xdr:to>
      <xdr:col>11</xdr:col>
      <xdr:colOff>990600</xdr:colOff>
      <xdr:row>104</xdr:row>
      <xdr:rowOff>152400</xdr:rowOff>
    </xdr:to>
    <xdr:cxnSp macro="">
      <xdr:nvCxnSpPr>
        <xdr:cNvPr id="17" name="Conector reto 16"/>
        <xdr:cNvCxnSpPr/>
      </xdr:nvCxnSpPr>
      <xdr:spPr>
        <a:xfrm>
          <a:off x="7096125" y="7096125"/>
          <a:ext cx="87630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66675</xdr:colOff>
      <xdr:row>113</xdr:row>
      <xdr:rowOff>133350</xdr:rowOff>
    </xdr:from>
    <xdr:to>
      <xdr:col>12</xdr:col>
      <xdr:colOff>1019175</xdr:colOff>
      <xdr:row>113</xdr:row>
      <xdr:rowOff>142875</xdr:rowOff>
    </xdr:to>
    <xdr:cxnSp macro="">
      <xdr:nvCxnSpPr>
        <xdr:cNvPr id="18" name="Conector reto 17"/>
        <xdr:cNvCxnSpPr/>
      </xdr:nvCxnSpPr>
      <xdr:spPr>
        <a:xfrm>
          <a:off x="7048500" y="7534275"/>
          <a:ext cx="2066925" cy="9525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133</xdr:row>
      <xdr:rowOff>133350</xdr:rowOff>
    </xdr:from>
    <xdr:to>
      <xdr:col>10</xdr:col>
      <xdr:colOff>1047750</xdr:colOff>
      <xdr:row>133</xdr:row>
      <xdr:rowOff>133350</xdr:rowOff>
    </xdr:to>
    <xdr:cxnSp macro="">
      <xdr:nvCxnSpPr>
        <xdr:cNvPr id="20" name="Conector reto 19"/>
        <xdr:cNvCxnSpPr/>
      </xdr:nvCxnSpPr>
      <xdr:spPr>
        <a:xfrm>
          <a:off x="5981700" y="7972425"/>
          <a:ext cx="87630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153</xdr:row>
      <xdr:rowOff>0</xdr:rowOff>
    </xdr:from>
    <xdr:ext cx="180975" cy="266700"/>
    <xdr:sp macro="" textlink="">
      <xdr:nvSpPr>
        <xdr:cNvPr id="2" name="CaixaDeTexto 1"/>
        <xdr:cNvSpPr txBox="1"/>
      </xdr:nvSpPr>
      <xdr:spPr>
        <a:xfrm>
          <a:off x="266700" y="4725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0</xdr:col>
      <xdr:colOff>114300</xdr:colOff>
      <xdr:row>0</xdr:row>
      <xdr:rowOff>152400</xdr:rowOff>
    </xdr:from>
    <xdr:to>
      <xdr:col>8</xdr:col>
      <xdr:colOff>981075</xdr:colOff>
      <xdr:row>7</xdr:row>
      <xdr:rowOff>276225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52400"/>
          <a:ext cx="9763125" cy="16097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266700</xdr:colOff>
      <xdr:row>153</xdr:row>
      <xdr:rowOff>0</xdr:rowOff>
    </xdr:from>
    <xdr:ext cx="180975" cy="266700"/>
    <xdr:sp macro="" textlink="">
      <xdr:nvSpPr>
        <xdr:cNvPr id="4" name="CaixaDeTexto 3"/>
        <xdr:cNvSpPr txBox="1"/>
      </xdr:nvSpPr>
      <xdr:spPr>
        <a:xfrm>
          <a:off x="266700" y="4725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153</xdr:row>
      <xdr:rowOff>0</xdr:rowOff>
    </xdr:from>
    <xdr:ext cx="180975" cy="266700"/>
    <xdr:sp macro="" textlink="">
      <xdr:nvSpPr>
        <xdr:cNvPr id="5" name="CaixaDeTexto 4"/>
        <xdr:cNvSpPr txBox="1"/>
      </xdr:nvSpPr>
      <xdr:spPr>
        <a:xfrm>
          <a:off x="266700" y="4725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153</xdr:row>
      <xdr:rowOff>0</xdr:rowOff>
    </xdr:from>
    <xdr:ext cx="180975" cy="266700"/>
    <xdr:sp macro="" textlink="">
      <xdr:nvSpPr>
        <xdr:cNvPr id="6" name="CaixaDeTexto 5"/>
        <xdr:cNvSpPr txBox="1"/>
      </xdr:nvSpPr>
      <xdr:spPr>
        <a:xfrm>
          <a:off x="266700" y="4725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30</xdr:row>
      <xdr:rowOff>0</xdr:rowOff>
    </xdr:from>
    <xdr:ext cx="180975" cy="266700"/>
    <xdr:sp macro="" textlink="">
      <xdr:nvSpPr>
        <xdr:cNvPr id="2" name="CaixaDeTexto 1"/>
        <xdr:cNvSpPr txBox="1"/>
      </xdr:nvSpPr>
      <xdr:spPr>
        <a:xfrm>
          <a:off x="266700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30</xdr:row>
      <xdr:rowOff>0</xdr:rowOff>
    </xdr:from>
    <xdr:ext cx="180975" cy="266700"/>
    <xdr:sp macro="" textlink="">
      <xdr:nvSpPr>
        <xdr:cNvPr id="3" name="CaixaDeTexto 2"/>
        <xdr:cNvSpPr txBox="1"/>
      </xdr:nvSpPr>
      <xdr:spPr>
        <a:xfrm>
          <a:off x="266700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30</xdr:row>
      <xdr:rowOff>0</xdr:rowOff>
    </xdr:from>
    <xdr:ext cx="180975" cy="266700"/>
    <xdr:sp macro="" textlink="">
      <xdr:nvSpPr>
        <xdr:cNvPr id="4" name="CaixaDeTexto 3"/>
        <xdr:cNvSpPr txBox="1"/>
      </xdr:nvSpPr>
      <xdr:spPr>
        <a:xfrm>
          <a:off x="266700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30</xdr:row>
      <xdr:rowOff>0</xdr:rowOff>
    </xdr:from>
    <xdr:ext cx="180975" cy="266700"/>
    <xdr:sp macro="" textlink="">
      <xdr:nvSpPr>
        <xdr:cNvPr id="5" name="CaixaDeTexto 4"/>
        <xdr:cNvSpPr txBox="1"/>
      </xdr:nvSpPr>
      <xdr:spPr>
        <a:xfrm>
          <a:off x="266700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30</xdr:row>
      <xdr:rowOff>0</xdr:rowOff>
    </xdr:from>
    <xdr:ext cx="180975" cy="266700"/>
    <xdr:sp macro="" textlink="">
      <xdr:nvSpPr>
        <xdr:cNvPr id="6" name="CaixaDeTexto 5"/>
        <xdr:cNvSpPr txBox="1"/>
      </xdr:nvSpPr>
      <xdr:spPr>
        <a:xfrm>
          <a:off x="266700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30</xdr:row>
      <xdr:rowOff>0</xdr:rowOff>
    </xdr:from>
    <xdr:ext cx="180975" cy="266700"/>
    <xdr:sp macro="" textlink="">
      <xdr:nvSpPr>
        <xdr:cNvPr id="7" name="CaixaDeTexto 6"/>
        <xdr:cNvSpPr txBox="1"/>
      </xdr:nvSpPr>
      <xdr:spPr>
        <a:xfrm>
          <a:off x="266700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30</xdr:row>
      <xdr:rowOff>0</xdr:rowOff>
    </xdr:from>
    <xdr:ext cx="180975" cy="266700"/>
    <xdr:sp macro="" textlink="">
      <xdr:nvSpPr>
        <xdr:cNvPr id="8" name="CaixaDeTexto 7"/>
        <xdr:cNvSpPr txBox="1"/>
      </xdr:nvSpPr>
      <xdr:spPr>
        <a:xfrm>
          <a:off x="266700" y="992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Engenharia%20e%20Arquitetura\Arquivos%20compartilhados\05-%20PROJETOS%20OBRAS%201\EDUCA&#199;&#195;O\EMEB%20PAULO\PROJETO%20REFORMA%202022\TTE_EMEB%20PAULO%20SOUZA%20ALVES_OR&#199;_R01_PREFEITUR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DI"/>
      <sheetName val="PLANILHA"/>
      <sheetName val="MEMORIA"/>
      <sheetName val="CRONOGRAMA"/>
      <sheetName val="COMPOSICOES"/>
      <sheetName val="COTACOES"/>
      <sheetName val="MAPA BF"/>
    </sheetNames>
    <sheetDataSet>
      <sheetData sheetId="0">
        <row r="2">
          <cell r="B2" t="str">
            <v>PREFEITURA MUNICIPAL DE TIETE</v>
          </cell>
        </row>
        <row r="47">
          <cell r="B47" t="str">
            <v>PREFEITURA MUNICIPAL DE MOGI GUAÇU</v>
          </cell>
          <cell r="C47">
            <v>1</v>
          </cell>
          <cell r="D47">
            <v>0</v>
          </cell>
          <cell r="F47">
            <v>2</v>
          </cell>
        </row>
        <row r="48">
          <cell r="B48" t="str">
            <v>PREFEITURA MUNICIPAL DE TIETE</v>
          </cell>
          <cell r="C48">
            <v>2</v>
          </cell>
          <cell r="D48">
            <v>0</v>
          </cell>
        </row>
        <row r="49">
          <cell r="B49" t="str">
            <v>PREFEITURA MUNICIPAL DE SETE BARRAS</v>
          </cell>
          <cell r="C49">
            <v>3</v>
          </cell>
          <cell r="D49">
            <v>0</v>
          </cell>
        </row>
        <row r="50">
          <cell r="B50" t="str">
            <v>PREFEITURA MUNICIPAL DE BOITUVA</v>
          </cell>
          <cell r="C50">
            <v>4</v>
          </cell>
          <cell r="D50">
            <v>0</v>
          </cell>
        </row>
        <row r="51">
          <cell r="B51" t="str">
            <v>PREFEITURA MUNICIPAL DE PAULINIA</v>
          </cell>
          <cell r="C51">
            <v>5</v>
          </cell>
          <cell r="D51">
            <v>0</v>
          </cell>
        </row>
        <row r="52">
          <cell r="B52" t="str">
            <v>PREFEITURA MUNICIPAL DE SÃO CAETANO DO SUL</v>
          </cell>
          <cell r="C52">
            <v>6</v>
          </cell>
          <cell r="D52">
            <v>0</v>
          </cell>
        </row>
        <row r="53">
          <cell r="B53" t="str">
            <v>PREFEITURA MUNICIPAL DE MOGI DAS CRUZES</v>
          </cell>
          <cell r="C53">
            <v>7</v>
          </cell>
          <cell r="D53">
            <v>0</v>
          </cell>
        </row>
        <row r="54">
          <cell r="B54" t="str">
            <v>PREFEITURA MUNICIPAL DE VOTORANTIM</v>
          </cell>
          <cell r="C54">
            <v>8</v>
          </cell>
          <cell r="D54">
            <v>0</v>
          </cell>
        </row>
        <row r="55">
          <cell r="B55" t="str">
            <v>PREFEITURA MUNICIPAL DE CAMPO LIMPO PAULISTA</v>
          </cell>
          <cell r="C55">
            <v>9</v>
          </cell>
          <cell r="D55">
            <v>0</v>
          </cell>
        </row>
        <row r="56">
          <cell r="B56" t="str">
            <v>PREFEITURA MUNICIPAL DE RIO DAS PEDRAS</v>
          </cell>
          <cell r="C56">
            <v>10</v>
          </cell>
          <cell r="D56">
            <v>0</v>
          </cell>
        </row>
        <row r="57">
          <cell r="B57" t="str">
            <v>PREFEITURA MUNICIPAL DE ITU</v>
          </cell>
          <cell r="C57">
            <v>11</v>
          </cell>
          <cell r="D57">
            <v>0</v>
          </cell>
        </row>
        <row r="58">
          <cell r="B58">
            <v>0</v>
          </cell>
          <cell r="C58">
            <v>12</v>
          </cell>
          <cell r="D58">
            <v>0</v>
          </cell>
        </row>
        <row r="59">
          <cell r="B59">
            <v>0</v>
          </cell>
          <cell r="C59">
            <v>13</v>
          </cell>
          <cell r="D59">
            <v>0</v>
          </cell>
        </row>
        <row r="60">
          <cell r="B60">
            <v>0</v>
          </cell>
          <cell r="C60">
            <v>14</v>
          </cell>
          <cell r="D60">
            <v>0</v>
          </cell>
        </row>
        <row r="61">
          <cell r="B61">
            <v>0</v>
          </cell>
          <cell r="C61">
            <v>15</v>
          </cell>
          <cell r="D61">
            <v>0</v>
          </cell>
        </row>
        <row r="62">
          <cell r="B62">
            <v>0</v>
          </cell>
          <cell r="C62">
            <v>16</v>
          </cell>
          <cell r="D62">
            <v>0</v>
          </cell>
        </row>
        <row r="63">
          <cell r="B63">
            <v>0</v>
          </cell>
          <cell r="C63">
            <v>17</v>
          </cell>
          <cell r="D63">
            <v>0</v>
          </cell>
        </row>
        <row r="64">
          <cell r="B64">
            <v>0</v>
          </cell>
          <cell r="C64">
            <v>18</v>
          </cell>
          <cell r="D64">
            <v>0</v>
          </cell>
        </row>
        <row r="65">
          <cell r="B65">
            <v>0</v>
          </cell>
          <cell r="C65">
            <v>19</v>
          </cell>
          <cell r="D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</row>
      </sheetData>
      <sheetData sheetId="1"/>
      <sheetData sheetId="2">
        <row r="4">
          <cell r="E4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62"/>
  <sheetViews>
    <sheetView showGridLines="0" workbookViewId="0" topLeftCell="A10">
      <selection activeCell="I114" sqref="I114"/>
    </sheetView>
  </sheetViews>
  <sheetFormatPr defaultColWidth="9.140625" defaultRowHeight="15"/>
  <cols>
    <col min="1" max="1" width="9.140625" style="16" customWidth="1"/>
    <col min="2" max="3" width="10.8515625" style="175" hidden="1" customWidth="1"/>
    <col min="4" max="4" width="43.57421875" style="16" customWidth="1"/>
    <col min="5" max="5" width="9.140625" style="16" hidden="1" customWidth="1"/>
    <col min="6" max="6" width="9.140625" style="175" hidden="1" customWidth="1"/>
    <col min="7" max="7" width="14.57421875" style="16" hidden="1" customWidth="1"/>
    <col min="8" max="8" width="14.8515625" style="16" hidden="1" customWidth="1"/>
    <col min="9" max="9" width="17.421875" style="16" customWidth="1"/>
    <col min="10" max="10" width="17.00390625" style="0" customWidth="1"/>
    <col min="11" max="11" width="17.57421875" style="0" customWidth="1"/>
    <col min="12" max="12" width="16.7109375" style="0" customWidth="1"/>
    <col min="13" max="13" width="16.140625" style="0" customWidth="1"/>
    <col min="15" max="15" width="18.140625" style="0" customWidth="1"/>
  </cols>
  <sheetData>
    <row r="1" ht="15"/>
    <row r="2" ht="15"/>
    <row r="3" ht="15"/>
    <row r="4" ht="15"/>
    <row r="5" spans="1:10" ht="27" customHeight="1">
      <c r="A5" s="90"/>
      <c r="B5" s="77"/>
      <c r="C5" s="77"/>
      <c r="D5" s="91"/>
      <c r="E5" s="92"/>
      <c r="F5" s="77"/>
      <c r="G5" s="238"/>
      <c r="H5" s="93"/>
      <c r="I5" s="94"/>
      <c r="J5" s="35"/>
    </row>
    <row r="6" spans="1:10" ht="15">
      <c r="A6" s="90"/>
      <c r="B6" s="77"/>
      <c r="C6" s="77"/>
      <c r="D6" s="91"/>
      <c r="E6" s="92"/>
      <c r="F6" s="77"/>
      <c r="G6" s="238"/>
      <c r="H6" s="93"/>
      <c r="I6" s="95"/>
      <c r="J6" s="36"/>
    </row>
    <row r="7" spans="1:10" ht="15">
      <c r="A7" s="90"/>
      <c r="B7" s="77"/>
      <c r="C7" s="77"/>
      <c r="D7" s="91"/>
      <c r="E7" s="92"/>
      <c r="F7" s="77"/>
      <c r="G7" s="238"/>
      <c r="H7" s="96"/>
      <c r="I7" s="97"/>
      <c r="J7" s="37"/>
    </row>
    <row r="8" spans="1:10" s="117" customFormat="1" ht="41.25" customHeight="1">
      <c r="A8" s="239" t="s">
        <v>66</v>
      </c>
      <c r="B8" s="239"/>
      <c r="C8" s="239"/>
      <c r="D8" s="239"/>
      <c r="E8" s="239"/>
      <c r="F8" s="239"/>
      <c r="G8" s="239"/>
      <c r="H8" s="239"/>
      <c r="I8" s="239"/>
      <c r="J8" s="116"/>
    </row>
    <row r="9" spans="1:10" ht="15.75">
      <c r="A9" s="98" t="s">
        <v>234</v>
      </c>
      <c r="B9" s="78"/>
      <c r="C9" s="78"/>
      <c r="D9" s="99"/>
      <c r="E9" s="100"/>
      <c r="F9" s="78"/>
      <c r="G9" s="240" t="s">
        <v>44</v>
      </c>
      <c r="H9" s="101" t="s">
        <v>132</v>
      </c>
      <c r="I9" s="94"/>
      <c r="J9" s="21"/>
    </row>
    <row r="10" spans="1:10" ht="15">
      <c r="A10" s="103" t="s">
        <v>248</v>
      </c>
      <c r="B10" s="79"/>
      <c r="C10" s="77"/>
      <c r="D10" s="104"/>
      <c r="E10" s="104"/>
      <c r="F10" s="105"/>
      <c r="G10" s="240"/>
      <c r="H10" s="106" t="s">
        <v>213</v>
      </c>
      <c r="I10" s="94"/>
      <c r="J10" s="21"/>
    </row>
    <row r="11" spans="1:10" ht="15">
      <c r="A11" s="99"/>
      <c r="B11" s="79"/>
      <c r="C11" s="77"/>
      <c r="D11" s="104"/>
      <c r="E11" s="104"/>
      <c r="F11" s="105"/>
      <c r="G11" s="240"/>
      <c r="H11" s="106" t="s">
        <v>214</v>
      </c>
      <c r="I11" s="94"/>
      <c r="J11" s="21"/>
    </row>
    <row r="12" spans="1:10" ht="15">
      <c r="A12" s="92"/>
      <c r="B12" s="77"/>
      <c r="C12" s="77"/>
      <c r="D12" s="92"/>
      <c r="E12" s="92"/>
      <c r="F12" s="107"/>
      <c r="G12" s="108" t="s">
        <v>1</v>
      </c>
      <c r="H12" s="109">
        <v>0.2247</v>
      </c>
      <c r="I12" s="92"/>
      <c r="J12" s="22"/>
    </row>
    <row r="13" spans="1:10" ht="15">
      <c r="A13" s="92"/>
      <c r="B13" s="77"/>
      <c r="C13" s="77"/>
      <c r="D13" s="92"/>
      <c r="E13" s="92"/>
      <c r="F13" s="107"/>
      <c r="G13" s="108" t="s">
        <v>0</v>
      </c>
      <c r="H13" s="110">
        <v>44927</v>
      </c>
      <c r="I13" s="92"/>
      <c r="J13" s="22"/>
    </row>
    <row r="15" spans="1:13" ht="33" customHeight="1">
      <c r="A15" s="111" t="s">
        <v>2</v>
      </c>
      <c r="B15" s="80" t="s">
        <v>3</v>
      </c>
      <c r="C15" s="80" t="s">
        <v>64</v>
      </c>
      <c r="D15" s="111" t="s">
        <v>4</v>
      </c>
      <c r="E15" s="111" t="s">
        <v>5</v>
      </c>
      <c r="F15" s="80" t="s">
        <v>6</v>
      </c>
      <c r="G15" s="111" t="s">
        <v>7</v>
      </c>
      <c r="H15" s="111" t="s">
        <v>8</v>
      </c>
      <c r="I15" s="111" t="s">
        <v>9</v>
      </c>
      <c r="J15" s="177" t="s">
        <v>77</v>
      </c>
      <c r="K15" s="177" t="s">
        <v>78</v>
      </c>
      <c r="L15" s="177" t="s">
        <v>79</v>
      </c>
      <c r="M15" s="177" t="s">
        <v>80</v>
      </c>
    </row>
    <row r="16" spans="1:13" ht="36.75" customHeight="1">
      <c r="A16" s="181" t="s">
        <v>68</v>
      </c>
      <c r="B16" s="182"/>
      <c r="C16" s="183"/>
      <c r="D16" s="181" t="s">
        <v>81</v>
      </c>
      <c r="E16" s="182"/>
      <c r="F16" s="184"/>
      <c r="G16" s="185"/>
      <c r="H16" s="185"/>
      <c r="I16" s="186">
        <f>SUM(I17:I28)</f>
        <v>24419.2279316375</v>
      </c>
      <c r="J16" s="233">
        <f>I16</f>
        <v>24419.2279316375</v>
      </c>
      <c r="K16" s="231"/>
      <c r="L16" s="231"/>
      <c r="M16" s="231"/>
    </row>
    <row r="17" spans="1:13" ht="45" hidden="1">
      <c r="A17" s="40" t="s">
        <v>69</v>
      </c>
      <c r="B17" s="187" t="s">
        <v>126</v>
      </c>
      <c r="C17" s="151" t="s">
        <v>10</v>
      </c>
      <c r="D17" s="45" t="s">
        <v>127</v>
      </c>
      <c r="E17" s="153" t="s">
        <v>19</v>
      </c>
      <c r="F17" s="42">
        <f>MEMÓRIA!D3</f>
        <v>743.5</v>
      </c>
      <c r="G17" s="43">
        <v>0.82</v>
      </c>
      <c r="H17" s="81">
        <f>H12*G17+G17</f>
        <v>1.004254</v>
      </c>
      <c r="I17" s="44">
        <f aca="true" t="shared" si="0" ref="I17:I18">H17*F17</f>
        <v>746.6628489999999</v>
      </c>
      <c r="J17" s="231"/>
      <c r="K17" s="231"/>
      <c r="L17" s="231"/>
      <c r="M17" s="231"/>
    </row>
    <row r="18" spans="1:13" ht="45" hidden="1">
      <c r="A18" s="188" t="s">
        <v>70</v>
      </c>
      <c r="B18" s="179" t="s">
        <v>83</v>
      </c>
      <c r="C18" s="189" t="s">
        <v>10</v>
      </c>
      <c r="D18" s="45" t="s">
        <v>82</v>
      </c>
      <c r="E18" s="190" t="s">
        <v>84</v>
      </c>
      <c r="F18" s="123">
        <v>1</v>
      </c>
      <c r="G18" s="191">
        <v>1263.54</v>
      </c>
      <c r="H18" s="191">
        <f>H12*G18+G18</f>
        <v>1547.457438</v>
      </c>
      <c r="I18" s="192">
        <f t="shared" si="0"/>
        <v>1547.457438</v>
      </c>
      <c r="J18" s="231"/>
      <c r="K18" s="231"/>
      <c r="L18" s="231"/>
      <c r="M18" s="231"/>
    </row>
    <row r="19" spans="1:13" ht="15" hidden="1">
      <c r="A19" s="40" t="s">
        <v>71</v>
      </c>
      <c r="B19" s="179" t="s">
        <v>86</v>
      </c>
      <c r="C19" s="150" t="s">
        <v>10</v>
      </c>
      <c r="D19" s="193" t="s">
        <v>85</v>
      </c>
      <c r="E19" s="153" t="s">
        <v>12</v>
      </c>
      <c r="F19" s="42">
        <v>1</v>
      </c>
      <c r="G19" s="43">
        <v>3128.84</v>
      </c>
      <c r="H19" s="43">
        <f>H12*G19+G19</f>
        <v>3831.8903480000004</v>
      </c>
      <c r="I19" s="44">
        <f>H19*F19</f>
        <v>3831.8903480000004</v>
      </c>
      <c r="J19" s="231"/>
      <c r="K19" s="231"/>
      <c r="L19" s="231"/>
      <c r="M19" s="231"/>
    </row>
    <row r="20" spans="1:13" ht="15" hidden="1">
      <c r="A20" s="86" t="s">
        <v>72</v>
      </c>
      <c r="B20" s="179" t="s">
        <v>88</v>
      </c>
      <c r="C20" s="151" t="s">
        <v>10</v>
      </c>
      <c r="D20" s="193" t="s">
        <v>87</v>
      </c>
      <c r="E20" s="153" t="s">
        <v>19</v>
      </c>
      <c r="F20" s="42">
        <f>MEMÓRIA!D6</f>
        <v>3</v>
      </c>
      <c r="G20" s="43">
        <v>894.32</v>
      </c>
      <c r="H20" s="81">
        <f>H12*G20+G20</f>
        <v>1095.2737040000002</v>
      </c>
      <c r="I20" s="44">
        <f aca="true" t="shared" si="1" ref="I20:I27">H20*F20</f>
        <v>3285.8211120000005</v>
      </c>
      <c r="J20" s="231"/>
      <c r="K20" s="231"/>
      <c r="L20" s="231"/>
      <c r="M20" s="231"/>
    </row>
    <row r="21" spans="1:13" ht="45" hidden="1">
      <c r="A21" s="86" t="s">
        <v>73</v>
      </c>
      <c r="B21" s="179" t="s">
        <v>90</v>
      </c>
      <c r="C21" s="150" t="s">
        <v>10</v>
      </c>
      <c r="D21" s="45" t="s">
        <v>89</v>
      </c>
      <c r="E21" s="153" t="s">
        <v>20</v>
      </c>
      <c r="F21" s="42">
        <f>MEMÓRIA!D7</f>
        <v>185.875</v>
      </c>
      <c r="G21" s="43">
        <v>22.2</v>
      </c>
      <c r="H21" s="43">
        <f>H12*G21+G21</f>
        <v>27.18834</v>
      </c>
      <c r="I21" s="44">
        <f t="shared" si="1"/>
        <v>5053.6326975</v>
      </c>
      <c r="J21" s="231"/>
      <c r="K21" s="231"/>
      <c r="L21" s="231"/>
      <c r="M21" s="231"/>
    </row>
    <row r="22" spans="1:13" ht="60" hidden="1">
      <c r="A22" s="40" t="s">
        <v>74</v>
      </c>
      <c r="B22" s="179" t="s">
        <v>134</v>
      </c>
      <c r="C22" s="151" t="s">
        <v>10</v>
      </c>
      <c r="D22" s="194" t="s">
        <v>133</v>
      </c>
      <c r="E22" s="153" t="s">
        <v>19</v>
      </c>
      <c r="F22" s="42">
        <f>MEMÓRIA!D8</f>
        <v>743.5</v>
      </c>
      <c r="G22" s="43">
        <v>4.45</v>
      </c>
      <c r="H22" s="81">
        <f>G22*H12+G22</f>
        <v>5.449915000000001</v>
      </c>
      <c r="I22" s="44">
        <f t="shared" si="1"/>
        <v>4052.0118025000006</v>
      </c>
      <c r="J22" s="231"/>
      <c r="K22" s="231"/>
      <c r="L22" s="231"/>
      <c r="M22" s="231"/>
    </row>
    <row r="23" spans="1:13" ht="30" hidden="1">
      <c r="A23" s="40" t="s">
        <v>287</v>
      </c>
      <c r="B23" s="179" t="s">
        <v>278</v>
      </c>
      <c r="C23" s="151" t="s">
        <v>10</v>
      </c>
      <c r="D23" s="194" t="s">
        <v>277</v>
      </c>
      <c r="E23" s="153" t="s">
        <v>12</v>
      </c>
      <c r="F23" s="42">
        <f>MEMÓRIA!D9</f>
        <v>20</v>
      </c>
      <c r="G23" s="43">
        <v>25.31</v>
      </c>
      <c r="H23" s="81">
        <f>G23*H12+G23</f>
        <v>30.997156999999998</v>
      </c>
      <c r="I23" s="44">
        <f t="shared" si="1"/>
        <v>619.94314</v>
      </c>
      <c r="J23" s="231"/>
      <c r="K23" s="231"/>
      <c r="L23" s="231"/>
      <c r="M23" s="231"/>
    </row>
    <row r="24" spans="1:13" ht="15" hidden="1">
      <c r="A24" s="40" t="s">
        <v>135</v>
      </c>
      <c r="B24" s="179" t="s">
        <v>280</v>
      </c>
      <c r="C24" s="151" t="s">
        <v>10</v>
      </c>
      <c r="D24" s="26" t="s">
        <v>279</v>
      </c>
      <c r="E24" s="153" t="s">
        <v>19</v>
      </c>
      <c r="F24" s="42">
        <f>MEMÓRIA!D10</f>
        <v>99.5</v>
      </c>
      <c r="G24" s="43">
        <v>4.1</v>
      </c>
      <c r="H24" s="81">
        <f>G24*H12+G24</f>
        <v>5.0212699999999995</v>
      </c>
      <c r="I24" s="44">
        <f t="shared" si="1"/>
        <v>499.616365</v>
      </c>
      <c r="J24" s="231"/>
      <c r="K24" s="231"/>
      <c r="L24" s="231"/>
      <c r="M24" s="231"/>
    </row>
    <row r="25" spans="1:13" ht="30" hidden="1">
      <c r="A25" s="40" t="s">
        <v>288</v>
      </c>
      <c r="B25" s="179" t="s">
        <v>282</v>
      </c>
      <c r="C25" s="151" t="s">
        <v>10</v>
      </c>
      <c r="D25" s="45" t="s">
        <v>281</v>
      </c>
      <c r="E25" s="153" t="s">
        <v>19</v>
      </c>
      <c r="F25" s="42">
        <f>MEMÓRIA!D11</f>
        <v>41.8</v>
      </c>
      <c r="G25" s="43">
        <v>3.42</v>
      </c>
      <c r="H25" s="81">
        <f>G25*H12+G25</f>
        <v>4.188474</v>
      </c>
      <c r="I25" s="44">
        <f t="shared" si="1"/>
        <v>175.0782132</v>
      </c>
      <c r="J25" s="231"/>
      <c r="K25" s="231"/>
      <c r="L25" s="231"/>
      <c r="M25" s="231"/>
    </row>
    <row r="26" spans="1:13" ht="30" hidden="1">
      <c r="A26" s="86" t="s">
        <v>289</v>
      </c>
      <c r="B26" s="195" t="s">
        <v>284</v>
      </c>
      <c r="C26" s="196" t="s">
        <v>10</v>
      </c>
      <c r="D26" s="197" t="s">
        <v>283</v>
      </c>
      <c r="E26" s="198" t="s">
        <v>20</v>
      </c>
      <c r="F26" s="162">
        <f>MEMÓRIA!D12</f>
        <v>11.8125</v>
      </c>
      <c r="G26" s="199">
        <v>77.88</v>
      </c>
      <c r="H26" s="200">
        <f>G26*H12+G26</f>
        <v>95.37963599999999</v>
      </c>
      <c r="I26" s="201">
        <f t="shared" si="1"/>
        <v>1126.6719502499998</v>
      </c>
      <c r="J26" s="231"/>
      <c r="K26" s="231"/>
      <c r="L26" s="231"/>
      <c r="M26" s="231"/>
    </row>
    <row r="27" spans="1:13" ht="45" hidden="1">
      <c r="A27" s="40" t="s">
        <v>290</v>
      </c>
      <c r="B27" s="179" t="s">
        <v>286</v>
      </c>
      <c r="C27" s="196" t="s">
        <v>10</v>
      </c>
      <c r="D27" s="45" t="s">
        <v>285</v>
      </c>
      <c r="E27" s="153" t="s">
        <v>20</v>
      </c>
      <c r="F27" s="42">
        <f>MEMÓRIA!D13</f>
        <v>17.4125</v>
      </c>
      <c r="G27" s="43">
        <v>94.33</v>
      </c>
      <c r="H27" s="81">
        <f>G27*H12+G27</f>
        <v>115.52595099999999</v>
      </c>
      <c r="I27" s="44">
        <f t="shared" si="1"/>
        <v>2011.5956217875</v>
      </c>
      <c r="J27" s="231"/>
      <c r="K27" s="231"/>
      <c r="L27" s="231"/>
      <c r="M27" s="231"/>
    </row>
    <row r="28" spans="1:13" ht="15" hidden="1">
      <c r="A28" s="40" t="s">
        <v>353</v>
      </c>
      <c r="B28" s="179" t="s">
        <v>355</v>
      </c>
      <c r="C28" s="151" t="s">
        <v>10</v>
      </c>
      <c r="D28" s="202" t="s">
        <v>354</v>
      </c>
      <c r="E28" s="153" t="s">
        <v>20</v>
      </c>
      <c r="F28" s="42">
        <f>MEMÓRIA!D14</f>
        <v>5.6000000000000005</v>
      </c>
      <c r="G28" s="43">
        <v>214.17</v>
      </c>
      <c r="H28" s="81">
        <f>G28*H12+G28</f>
        <v>262.293999</v>
      </c>
      <c r="I28" s="44">
        <f>H28*F28</f>
        <v>1468.8463944</v>
      </c>
      <c r="J28" s="231"/>
      <c r="K28" s="231"/>
      <c r="L28" s="231"/>
      <c r="M28" s="231"/>
    </row>
    <row r="29" spans="1:13" ht="39" customHeight="1">
      <c r="A29" s="203" t="s">
        <v>63</v>
      </c>
      <c r="B29" s="204"/>
      <c r="C29" s="204"/>
      <c r="D29" s="205" t="s">
        <v>23</v>
      </c>
      <c r="E29" s="206"/>
      <c r="F29" s="207"/>
      <c r="G29" s="208"/>
      <c r="H29" s="209"/>
      <c r="I29" s="210">
        <f>SUM(I30:I34)</f>
        <v>81704.12299919188</v>
      </c>
      <c r="J29" s="234">
        <f>I29/2</f>
        <v>40852.06149959594</v>
      </c>
      <c r="K29" s="234">
        <f>I29/2</f>
        <v>40852.06149959594</v>
      </c>
      <c r="L29" s="231"/>
      <c r="M29" s="231"/>
    </row>
    <row r="30" spans="1:13" ht="30" hidden="1">
      <c r="A30" s="40" t="s">
        <v>15</v>
      </c>
      <c r="B30" s="179" t="s">
        <v>93</v>
      </c>
      <c r="C30" s="150" t="s">
        <v>10</v>
      </c>
      <c r="D30" s="211" t="s">
        <v>92</v>
      </c>
      <c r="E30" s="154" t="s">
        <v>19</v>
      </c>
      <c r="F30" s="212">
        <f>MEMÓRIA!D16</f>
        <v>341.95</v>
      </c>
      <c r="G30" s="213">
        <v>4.09</v>
      </c>
      <c r="H30" s="213">
        <f>H12*G30+G30</f>
        <v>5.009023</v>
      </c>
      <c r="I30" s="213">
        <f aca="true" t="shared" si="2" ref="I30:I32">H30*F30</f>
        <v>1712.83541485</v>
      </c>
      <c r="J30" s="231"/>
      <c r="K30" s="231"/>
      <c r="L30" s="231"/>
      <c r="M30" s="231"/>
    </row>
    <row r="31" spans="1:13" ht="45" hidden="1">
      <c r="A31" s="40" t="s">
        <v>16</v>
      </c>
      <c r="B31" s="179">
        <v>94991</v>
      </c>
      <c r="C31" s="150" t="s">
        <v>95</v>
      </c>
      <c r="D31" s="211" t="s">
        <v>94</v>
      </c>
      <c r="E31" s="154" t="s">
        <v>20</v>
      </c>
      <c r="F31" s="212">
        <f>MEMÓRIA!D17</f>
        <v>5.6000000000000005</v>
      </c>
      <c r="G31" s="213">
        <v>673.93</v>
      </c>
      <c r="H31" s="213">
        <f>H12*G31+G31</f>
        <v>825.362071</v>
      </c>
      <c r="I31" s="213">
        <f t="shared" si="2"/>
        <v>4622.0275976</v>
      </c>
      <c r="J31" s="231"/>
      <c r="K31" s="231"/>
      <c r="L31" s="231"/>
      <c r="M31" s="231"/>
    </row>
    <row r="32" spans="1:13" ht="30" hidden="1">
      <c r="A32" s="86" t="s">
        <v>17</v>
      </c>
      <c r="B32" s="195">
        <v>101735</v>
      </c>
      <c r="C32" s="214" t="s">
        <v>95</v>
      </c>
      <c r="D32" s="197" t="s">
        <v>130</v>
      </c>
      <c r="E32" s="155" t="s">
        <v>19</v>
      </c>
      <c r="F32" s="215">
        <f>MEMÓRIA!D18</f>
        <v>121.4</v>
      </c>
      <c r="G32" s="216">
        <v>387.2</v>
      </c>
      <c r="H32" s="216">
        <f>H12*G32+G32</f>
        <v>474.20384</v>
      </c>
      <c r="I32" s="216">
        <f t="shared" si="2"/>
        <v>57568.34617600001</v>
      </c>
      <c r="J32" s="231"/>
      <c r="K32" s="231"/>
      <c r="L32" s="231"/>
      <c r="M32" s="231"/>
    </row>
    <row r="33" spans="1:13" ht="15" hidden="1">
      <c r="A33" s="86" t="s">
        <v>18</v>
      </c>
      <c r="B33" s="217" t="s">
        <v>117</v>
      </c>
      <c r="C33" s="150" t="s">
        <v>24</v>
      </c>
      <c r="D33" s="193" t="s">
        <v>116</v>
      </c>
      <c r="E33" s="154" t="s">
        <v>11</v>
      </c>
      <c r="F33" s="212">
        <f>MEMÓRIA!D19</f>
        <v>6.7</v>
      </c>
      <c r="G33" s="88">
        <f>42.95/1.23</f>
        <v>34.91869918699187</v>
      </c>
      <c r="H33" s="88">
        <f>G33*H12+G33</f>
        <v>42.76493089430895</v>
      </c>
      <c r="I33" s="88">
        <f>H33*F33</f>
        <v>286.52503699186997</v>
      </c>
      <c r="J33" s="231"/>
      <c r="K33" s="231"/>
      <c r="L33" s="231"/>
      <c r="M33" s="231"/>
    </row>
    <row r="34" spans="1:13" ht="60" hidden="1">
      <c r="A34" s="86" t="s">
        <v>245</v>
      </c>
      <c r="B34" s="195" t="s">
        <v>247</v>
      </c>
      <c r="C34" s="150" t="s">
        <v>10</v>
      </c>
      <c r="D34" s="197" t="s">
        <v>246</v>
      </c>
      <c r="E34" s="154" t="s">
        <v>11</v>
      </c>
      <c r="F34" s="212">
        <f>MEMÓRIA!D20</f>
        <v>140.55</v>
      </c>
      <c r="G34" s="88">
        <v>101.75</v>
      </c>
      <c r="H34" s="88">
        <f>G34*H12+G34</f>
        <v>124.613225</v>
      </c>
      <c r="I34" s="88">
        <f>H34*F34</f>
        <v>17514.38877375</v>
      </c>
      <c r="J34" s="231"/>
      <c r="K34" s="231"/>
      <c r="L34" s="231"/>
      <c r="M34" s="231"/>
    </row>
    <row r="35" spans="1:13" ht="37.5" customHeight="1">
      <c r="A35" s="181" t="s">
        <v>21</v>
      </c>
      <c r="B35" s="218"/>
      <c r="C35" s="218"/>
      <c r="D35" s="219" t="s">
        <v>101</v>
      </c>
      <c r="E35" s="220"/>
      <c r="F35" s="221"/>
      <c r="G35" s="222"/>
      <c r="H35" s="223"/>
      <c r="I35" s="224">
        <f>PLANILHA!I35</f>
        <v>75654.029944</v>
      </c>
      <c r="J35" s="231"/>
      <c r="K35" s="234">
        <f>I35/3</f>
        <v>25218.009981333333</v>
      </c>
      <c r="L35" s="234">
        <f>I35/3</f>
        <v>25218.009981333333</v>
      </c>
      <c r="M35" s="234">
        <f>I35/3</f>
        <v>25218.009981333333</v>
      </c>
    </row>
    <row r="36" spans="1:13" ht="27" customHeight="1" hidden="1">
      <c r="A36" s="40" t="s">
        <v>22</v>
      </c>
      <c r="B36" s="179" t="s">
        <v>225</v>
      </c>
      <c r="C36" s="151" t="s">
        <v>10</v>
      </c>
      <c r="D36" s="45" t="s">
        <v>224</v>
      </c>
      <c r="E36" s="153" t="s">
        <v>12</v>
      </c>
      <c r="F36" s="42">
        <v>1</v>
      </c>
      <c r="G36" s="81">
        <v>2870.72</v>
      </c>
      <c r="H36" s="81">
        <f>G36*H12+G36</f>
        <v>3515.770784</v>
      </c>
      <c r="I36" s="44">
        <f>H36*F36</f>
        <v>3515.770784</v>
      </c>
      <c r="J36" s="231"/>
      <c r="K36" s="231"/>
      <c r="L36" s="231"/>
      <c r="M36" s="231"/>
    </row>
    <row r="37" spans="1:13" ht="30" hidden="1">
      <c r="A37" s="40" t="s">
        <v>25</v>
      </c>
      <c r="B37" s="179" t="s">
        <v>136</v>
      </c>
      <c r="C37" s="151" t="s">
        <v>10</v>
      </c>
      <c r="D37" s="45" t="s">
        <v>137</v>
      </c>
      <c r="E37" s="153" t="s">
        <v>12</v>
      </c>
      <c r="F37" s="42">
        <f>MEMÓRIA!D22</f>
        <v>17</v>
      </c>
      <c r="G37" s="81">
        <v>1767.86</v>
      </c>
      <c r="H37" s="81">
        <f>G37*H12+G37</f>
        <v>2165.098142</v>
      </c>
      <c r="I37" s="44">
        <f>H37*F37</f>
        <v>36806.668414</v>
      </c>
      <c r="J37" s="231"/>
      <c r="K37" s="231"/>
      <c r="L37" s="231"/>
      <c r="M37" s="231"/>
    </row>
    <row r="38" spans="1:13" ht="30" hidden="1">
      <c r="A38" s="40" t="s">
        <v>65</v>
      </c>
      <c r="B38" s="179" t="s">
        <v>138</v>
      </c>
      <c r="C38" s="151" t="s">
        <v>10</v>
      </c>
      <c r="D38" s="45" t="s">
        <v>139</v>
      </c>
      <c r="E38" s="153" t="s">
        <v>12</v>
      </c>
      <c r="F38" s="42">
        <f>MEMÓRIA!D23</f>
        <v>17</v>
      </c>
      <c r="G38" s="81">
        <v>101.37</v>
      </c>
      <c r="H38" s="81">
        <f>G38*H12+G38</f>
        <v>124.147839</v>
      </c>
      <c r="I38" s="44">
        <f>H38*F38</f>
        <v>2110.5132630000003</v>
      </c>
      <c r="J38" s="231"/>
      <c r="K38" s="231"/>
      <c r="L38" s="231"/>
      <c r="M38" s="231"/>
    </row>
    <row r="39" spans="1:13" ht="45" hidden="1">
      <c r="A39" s="40" t="s">
        <v>97</v>
      </c>
      <c r="B39" s="179" t="s">
        <v>140</v>
      </c>
      <c r="C39" s="151" t="s">
        <v>10</v>
      </c>
      <c r="D39" s="45" t="s">
        <v>141</v>
      </c>
      <c r="E39" s="153" t="s">
        <v>12</v>
      </c>
      <c r="F39" s="42">
        <f>MEMÓRIA!D24</f>
        <v>17</v>
      </c>
      <c r="G39" s="81">
        <v>900.28</v>
      </c>
      <c r="H39" s="81">
        <f>G39*H12+G39</f>
        <v>1102.572916</v>
      </c>
      <c r="I39" s="44">
        <f>H39*F39</f>
        <v>18743.739572000002</v>
      </c>
      <c r="J39" s="231"/>
      <c r="K39" s="231"/>
      <c r="L39" s="231"/>
      <c r="M39" s="231"/>
    </row>
    <row r="40" spans="1:13" ht="30" hidden="1">
      <c r="A40" s="40" t="s">
        <v>98</v>
      </c>
      <c r="B40" s="179" t="s">
        <v>52</v>
      </c>
      <c r="C40" s="150" t="s">
        <v>10</v>
      </c>
      <c r="D40" s="194" t="s">
        <v>46</v>
      </c>
      <c r="E40" s="154" t="s">
        <v>20</v>
      </c>
      <c r="F40" s="42">
        <f>MEMÓRIA!D25</f>
        <v>7.5</v>
      </c>
      <c r="G40" s="81">
        <v>58.41</v>
      </c>
      <c r="H40" s="81">
        <f>H12*G40+G40</f>
        <v>71.534727</v>
      </c>
      <c r="I40" s="44">
        <f aca="true" t="shared" si="3" ref="I40:I43">H40*F40</f>
        <v>536.5104525</v>
      </c>
      <c r="J40" s="231"/>
      <c r="K40" s="231"/>
      <c r="L40" s="231"/>
      <c r="M40" s="231"/>
    </row>
    <row r="41" spans="1:13" ht="15" hidden="1">
      <c r="A41" s="40" t="s">
        <v>99</v>
      </c>
      <c r="B41" s="154" t="s">
        <v>54</v>
      </c>
      <c r="C41" s="150" t="s">
        <v>10</v>
      </c>
      <c r="D41" s="25" t="s">
        <v>48</v>
      </c>
      <c r="E41" s="154" t="s">
        <v>20</v>
      </c>
      <c r="F41" s="42">
        <f>MEMÓRIA!D26</f>
        <v>2.25</v>
      </c>
      <c r="G41" s="81">
        <v>456.42</v>
      </c>
      <c r="H41" s="81">
        <f>G41*H12+G41</f>
        <v>558.977574</v>
      </c>
      <c r="I41" s="44"/>
      <c r="J41" s="231"/>
      <c r="K41" s="231"/>
      <c r="L41" s="231"/>
      <c r="M41" s="231"/>
    </row>
    <row r="42" spans="1:13" ht="15" hidden="1">
      <c r="A42" s="40" t="s">
        <v>100</v>
      </c>
      <c r="B42" s="179" t="s">
        <v>55</v>
      </c>
      <c r="C42" s="150" t="s">
        <v>10</v>
      </c>
      <c r="D42" s="193" t="s">
        <v>49</v>
      </c>
      <c r="E42" s="154" t="s">
        <v>20</v>
      </c>
      <c r="F42" s="120">
        <f>MEMÓRIA!D27</f>
        <v>5.25</v>
      </c>
      <c r="G42" s="81">
        <v>164.2</v>
      </c>
      <c r="H42" s="81">
        <f>G42*H12+G42</f>
        <v>201.09573999999998</v>
      </c>
      <c r="I42" s="81">
        <f>H42*F42</f>
        <v>1055.7526349999998</v>
      </c>
      <c r="J42" s="231"/>
      <c r="K42" s="231"/>
      <c r="L42" s="231"/>
      <c r="M42" s="231"/>
    </row>
    <row r="43" spans="1:13" ht="15" hidden="1">
      <c r="A43" s="40" t="s">
        <v>128</v>
      </c>
      <c r="B43" s="195" t="s">
        <v>118</v>
      </c>
      <c r="C43" s="150" t="s">
        <v>10</v>
      </c>
      <c r="D43" s="202" t="s">
        <v>119</v>
      </c>
      <c r="E43" s="153" t="s">
        <v>20</v>
      </c>
      <c r="F43" s="42">
        <f>MEMÓRIA!D28</f>
        <v>3</v>
      </c>
      <c r="G43" s="43">
        <v>18.16</v>
      </c>
      <c r="H43" s="81">
        <f>H12*G43+G43</f>
        <v>22.240552</v>
      </c>
      <c r="I43" s="44">
        <f t="shared" si="3"/>
        <v>66.721656</v>
      </c>
      <c r="J43" s="231"/>
      <c r="K43" s="231"/>
      <c r="L43" s="231"/>
      <c r="M43" s="231"/>
    </row>
    <row r="44" spans="1:13" ht="30" hidden="1">
      <c r="A44" s="40" t="s">
        <v>177</v>
      </c>
      <c r="B44" s="179" t="s">
        <v>120</v>
      </c>
      <c r="C44" s="150" t="s">
        <v>10</v>
      </c>
      <c r="D44" s="45" t="s">
        <v>121</v>
      </c>
      <c r="E44" s="153" t="s">
        <v>11</v>
      </c>
      <c r="F44" s="42">
        <f>MEMÓRIA!D29</f>
        <v>200</v>
      </c>
      <c r="G44" s="43">
        <v>4.75</v>
      </c>
      <c r="H44" s="81">
        <f>H12*G44+G44</f>
        <v>5.817325</v>
      </c>
      <c r="I44" s="44">
        <f>H44*F44</f>
        <v>1163.4650000000001</v>
      </c>
      <c r="J44" s="231"/>
      <c r="K44" s="231"/>
      <c r="L44" s="231"/>
      <c r="M44" s="231"/>
    </row>
    <row r="45" spans="1:13" ht="30" hidden="1">
      <c r="A45" s="40" t="s">
        <v>178</v>
      </c>
      <c r="B45" s="195" t="s">
        <v>122</v>
      </c>
      <c r="C45" s="150" t="s">
        <v>10</v>
      </c>
      <c r="D45" s="45" t="s">
        <v>123</v>
      </c>
      <c r="E45" s="153" t="s">
        <v>11</v>
      </c>
      <c r="F45" s="42">
        <f>MEMÓRIA!D30</f>
        <v>300</v>
      </c>
      <c r="G45" s="43">
        <v>6.83</v>
      </c>
      <c r="H45" s="81">
        <f>G45*H12+G45</f>
        <v>8.364701</v>
      </c>
      <c r="I45" s="44">
        <f>H45*F45</f>
        <v>2509.4103</v>
      </c>
      <c r="J45" s="231"/>
      <c r="K45" s="231"/>
      <c r="L45" s="231"/>
      <c r="M45" s="231"/>
    </row>
    <row r="46" spans="1:13" ht="15" hidden="1">
      <c r="A46" s="40" t="s">
        <v>179</v>
      </c>
      <c r="B46" s="179" t="s">
        <v>124</v>
      </c>
      <c r="C46" s="150" t="s">
        <v>10</v>
      </c>
      <c r="D46" s="193" t="s">
        <v>125</v>
      </c>
      <c r="E46" s="154" t="s">
        <v>11</v>
      </c>
      <c r="F46" s="42">
        <f>MEMÓRIA!D31</f>
        <v>150</v>
      </c>
      <c r="G46" s="81">
        <v>30.4</v>
      </c>
      <c r="H46" s="81">
        <f>G46*H12+G46</f>
        <v>37.23088</v>
      </c>
      <c r="I46" s="44">
        <f>H46*F46</f>
        <v>5584.632</v>
      </c>
      <c r="J46" s="231"/>
      <c r="K46" s="231"/>
      <c r="L46" s="231"/>
      <c r="M46" s="231"/>
    </row>
    <row r="47" spans="1:13" ht="30" hidden="1">
      <c r="A47" s="40" t="s">
        <v>223</v>
      </c>
      <c r="B47" s="179" t="s">
        <v>142</v>
      </c>
      <c r="C47" s="150" t="s">
        <v>10</v>
      </c>
      <c r="D47" s="45" t="s">
        <v>143</v>
      </c>
      <c r="E47" s="154" t="s">
        <v>12</v>
      </c>
      <c r="F47" s="42">
        <f>MEMÓRIA!D32</f>
        <v>6</v>
      </c>
      <c r="G47" s="81">
        <v>42.11</v>
      </c>
      <c r="H47" s="81">
        <f>G47*H12+G47</f>
        <v>51.572117</v>
      </c>
      <c r="I47" s="44">
        <f>H47*F47</f>
        <v>309.432702</v>
      </c>
      <c r="J47" s="231"/>
      <c r="K47" s="231"/>
      <c r="L47" s="231"/>
      <c r="M47" s="231"/>
    </row>
    <row r="48" spans="1:13" ht="15" hidden="1">
      <c r="A48" s="40" t="s">
        <v>226</v>
      </c>
      <c r="B48" s="178" t="s">
        <v>221</v>
      </c>
      <c r="C48" s="151" t="s">
        <v>10</v>
      </c>
      <c r="D48" s="26" t="s">
        <v>222</v>
      </c>
      <c r="E48" s="156" t="s">
        <v>12</v>
      </c>
      <c r="F48" s="139">
        <f>F38</f>
        <v>17</v>
      </c>
      <c r="G48" s="140">
        <v>95.76</v>
      </c>
      <c r="H48" s="140">
        <f>G48*H12+G48</f>
        <v>117.27727200000001</v>
      </c>
      <c r="I48" s="140">
        <f>H48*F48</f>
        <v>1993.7136240000002</v>
      </c>
      <c r="J48" s="231"/>
      <c r="K48" s="231"/>
      <c r="L48" s="231"/>
      <c r="M48" s="231"/>
    </row>
    <row r="49" spans="1:13" ht="37.5" customHeight="1">
      <c r="A49" s="181" t="s">
        <v>30</v>
      </c>
      <c r="B49" s="218"/>
      <c r="C49" s="218"/>
      <c r="D49" s="219" t="s">
        <v>102</v>
      </c>
      <c r="E49" s="220"/>
      <c r="F49" s="221"/>
      <c r="G49" s="222"/>
      <c r="H49" s="223"/>
      <c r="I49" s="224">
        <f>SUM(I50:I54)</f>
        <v>18333.048674</v>
      </c>
      <c r="J49" s="231"/>
      <c r="K49" s="231"/>
      <c r="L49" s="231"/>
      <c r="M49" s="234">
        <f>I49</f>
        <v>18333.048674</v>
      </c>
    </row>
    <row r="50" spans="1:13" ht="16.5" customHeight="1" hidden="1">
      <c r="A50" s="40" t="s">
        <v>31</v>
      </c>
      <c r="B50" s="179" t="s">
        <v>104</v>
      </c>
      <c r="C50" s="151" t="s">
        <v>10</v>
      </c>
      <c r="D50" s="193" t="s">
        <v>103</v>
      </c>
      <c r="E50" s="153" t="s">
        <v>12</v>
      </c>
      <c r="F50" s="42">
        <v>7</v>
      </c>
      <c r="G50" s="43">
        <v>602.66</v>
      </c>
      <c r="H50" s="81">
        <f>G50*H12+G50</f>
        <v>738.0777019999999</v>
      </c>
      <c r="I50" s="44">
        <f>H50*F50</f>
        <v>5166.543914</v>
      </c>
      <c r="J50" s="231"/>
      <c r="K50" s="231"/>
      <c r="L50" s="231"/>
      <c r="M50" s="231"/>
    </row>
    <row r="51" spans="1:13" ht="15.75" customHeight="1" hidden="1">
      <c r="A51" s="40" t="s">
        <v>32</v>
      </c>
      <c r="B51" s="179" t="s">
        <v>106</v>
      </c>
      <c r="C51" s="151" t="s">
        <v>10</v>
      </c>
      <c r="D51" s="193" t="s">
        <v>105</v>
      </c>
      <c r="E51" s="153" t="s">
        <v>12</v>
      </c>
      <c r="F51" s="42">
        <v>1</v>
      </c>
      <c r="G51" s="43">
        <v>5442.27</v>
      </c>
      <c r="H51" s="81">
        <f>G51*H12+G51</f>
        <v>6665.148069000001</v>
      </c>
      <c r="I51" s="44">
        <f>H51*F51</f>
        <v>6665.148069000001</v>
      </c>
      <c r="J51" s="231"/>
      <c r="K51" s="231"/>
      <c r="L51" s="231"/>
      <c r="M51" s="231"/>
    </row>
    <row r="52" spans="1:13" ht="15.75" customHeight="1" hidden="1">
      <c r="A52" s="40" t="s">
        <v>67</v>
      </c>
      <c r="B52" s="179" t="s">
        <v>108</v>
      </c>
      <c r="C52" s="151" t="s">
        <v>10</v>
      </c>
      <c r="D52" s="193" t="s">
        <v>107</v>
      </c>
      <c r="E52" s="153" t="s">
        <v>12</v>
      </c>
      <c r="F52" s="42">
        <v>1</v>
      </c>
      <c r="G52" s="43">
        <v>1792.31</v>
      </c>
      <c r="H52" s="81">
        <f>G52*H12+G52</f>
        <v>2195.042057</v>
      </c>
      <c r="I52" s="44">
        <f>H52*F52</f>
        <v>2195.042057</v>
      </c>
      <c r="J52" s="231"/>
      <c r="K52" s="231"/>
      <c r="L52" s="231"/>
      <c r="M52" s="231"/>
    </row>
    <row r="53" spans="1:13" ht="15" hidden="1">
      <c r="A53" s="40" t="s">
        <v>75</v>
      </c>
      <c r="B53" s="179" t="s">
        <v>110</v>
      </c>
      <c r="C53" s="151" t="s">
        <v>10</v>
      </c>
      <c r="D53" s="193" t="s">
        <v>109</v>
      </c>
      <c r="E53" s="153" t="s">
        <v>12</v>
      </c>
      <c r="F53" s="42">
        <v>1</v>
      </c>
      <c r="G53" s="43">
        <v>1508.06</v>
      </c>
      <c r="H53" s="81">
        <f>H12*G53+G53</f>
        <v>1846.9210819999998</v>
      </c>
      <c r="I53" s="44">
        <f>F53*H53</f>
        <v>1846.9210819999998</v>
      </c>
      <c r="J53" s="231"/>
      <c r="K53" s="231"/>
      <c r="L53" s="231"/>
      <c r="M53" s="231"/>
    </row>
    <row r="54" spans="1:13" ht="15" hidden="1">
      <c r="A54" s="40" t="s">
        <v>76</v>
      </c>
      <c r="B54" s="179" t="s">
        <v>112</v>
      </c>
      <c r="C54" s="151" t="s">
        <v>10</v>
      </c>
      <c r="D54" s="193" t="s">
        <v>111</v>
      </c>
      <c r="E54" s="153" t="s">
        <v>12</v>
      </c>
      <c r="F54" s="42">
        <v>1</v>
      </c>
      <c r="G54" s="43">
        <v>2008.16</v>
      </c>
      <c r="H54" s="81">
        <f>H12*G54+G54</f>
        <v>2459.393552</v>
      </c>
      <c r="I54" s="44">
        <f>H54*F54</f>
        <v>2459.393552</v>
      </c>
      <c r="J54" s="231"/>
      <c r="K54" s="231"/>
      <c r="L54" s="231"/>
      <c r="M54" s="231"/>
    </row>
    <row r="55" spans="1:13" ht="39.75" customHeight="1">
      <c r="A55" s="181" t="s">
        <v>33</v>
      </c>
      <c r="B55" s="218"/>
      <c r="C55" s="218"/>
      <c r="D55" s="219" t="s">
        <v>113</v>
      </c>
      <c r="E55" s="220"/>
      <c r="F55" s="221"/>
      <c r="G55" s="222"/>
      <c r="H55" s="223"/>
      <c r="I55" s="224">
        <f>SUM(I56:I56)</f>
        <v>3947.2081000000003</v>
      </c>
      <c r="J55" s="231"/>
      <c r="K55" s="231"/>
      <c r="L55" s="231"/>
      <c r="M55" s="234">
        <f>I55</f>
        <v>3947.2081000000003</v>
      </c>
    </row>
    <row r="56" spans="1:13" s="89" customFormat="1" ht="18" customHeight="1" hidden="1">
      <c r="A56" s="40" t="s">
        <v>34</v>
      </c>
      <c r="B56" s="179" t="s">
        <v>115</v>
      </c>
      <c r="C56" s="152" t="s">
        <v>10</v>
      </c>
      <c r="D56" s="193" t="s">
        <v>114</v>
      </c>
      <c r="E56" s="153" t="s">
        <v>19</v>
      </c>
      <c r="F56" s="42">
        <v>220</v>
      </c>
      <c r="G56" s="43">
        <v>14.65</v>
      </c>
      <c r="H56" s="88">
        <f>G56*H12+G56</f>
        <v>17.941855</v>
      </c>
      <c r="I56" s="44">
        <f>H56*F56</f>
        <v>3947.2081000000003</v>
      </c>
      <c r="J56" s="232"/>
      <c r="K56" s="232"/>
      <c r="L56" s="232"/>
      <c r="M56" s="232"/>
    </row>
    <row r="57" spans="1:13" s="89" customFormat="1" ht="38.25" customHeight="1">
      <c r="A57" s="181" t="s">
        <v>35</v>
      </c>
      <c r="B57" s="218"/>
      <c r="C57" s="218"/>
      <c r="D57" s="219" t="s">
        <v>145</v>
      </c>
      <c r="E57" s="220"/>
      <c r="F57" s="221"/>
      <c r="G57" s="222"/>
      <c r="H57" s="223"/>
      <c r="I57" s="224">
        <f>I58+I74+I80+I85+I89+I92</f>
        <v>192036.33763074753</v>
      </c>
      <c r="J57" s="233">
        <f>I57/4</f>
        <v>48009.08440768688</v>
      </c>
      <c r="K57" s="233">
        <f>I57/4</f>
        <v>48009.08440768688</v>
      </c>
      <c r="L57" s="233">
        <f>I57/4</f>
        <v>48009.08440768688</v>
      </c>
      <c r="M57" s="233">
        <f>I57/4</f>
        <v>48009.08440768688</v>
      </c>
    </row>
    <row r="58" spans="1:13" s="89" customFormat="1" ht="18" customHeight="1" hidden="1">
      <c r="A58" s="181" t="s">
        <v>36</v>
      </c>
      <c r="B58" s="218"/>
      <c r="C58" s="218"/>
      <c r="D58" s="219" t="s">
        <v>146</v>
      </c>
      <c r="E58" s="220"/>
      <c r="F58" s="221"/>
      <c r="G58" s="222"/>
      <c r="H58" s="223"/>
      <c r="I58" s="224">
        <f>I59+I69</f>
        <v>18056.72794096</v>
      </c>
      <c r="J58" s="232"/>
      <c r="K58" s="232"/>
      <c r="L58" s="232"/>
      <c r="M58" s="232"/>
    </row>
    <row r="59" spans="1:13" s="89" customFormat="1" ht="18" customHeight="1" hidden="1">
      <c r="A59" s="181" t="s">
        <v>180</v>
      </c>
      <c r="B59" s="218"/>
      <c r="C59" s="218"/>
      <c r="D59" s="219" t="s">
        <v>45</v>
      </c>
      <c r="E59" s="220"/>
      <c r="F59" s="221"/>
      <c r="G59" s="222"/>
      <c r="H59" s="223"/>
      <c r="I59" s="224">
        <f>SUM(I60:I68)</f>
        <v>15225.4899952</v>
      </c>
      <c r="J59" s="232"/>
      <c r="K59" s="233"/>
      <c r="L59" s="232"/>
      <c r="M59" s="232"/>
    </row>
    <row r="60" spans="1:13" s="89" customFormat="1" ht="18" customHeight="1" hidden="1">
      <c r="A60" s="40" t="s">
        <v>181</v>
      </c>
      <c r="B60" s="179" t="s">
        <v>147</v>
      </c>
      <c r="C60" s="151" t="s">
        <v>10</v>
      </c>
      <c r="D60" s="194" t="s">
        <v>148</v>
      </c>
      <c r="E60" s="179" t="s">
        <v>11</v>
      </c>
      <c r="F60" s="42">
        <f>MEMÓRIA!D36</f>
        <v>64</v>
      </c>
      <c r="G60" s="43">
        <v>1.46</v>
      </c>
      <c r="H60" s="88">
        <f>H12*G60+G60</f>
        <v>1.788062</v>
      </c>
      <c r="I60" s="44">
        <f>H60*F60</f>
        <v>114.435968</v>
      </c>
      <c r="J60" s="232"/>
      <c r="K60" s="232"/>
      <c r="L60" s="232"/>
      <c r="M60" s="232"/>
    </row>
    <row r="61" spans="1:13" s="89" customFormat="1" ht="18" customHeight="1" hidden="1">
      <c r="A61" s="40" t="s">
        <v>182</v>
      </c>
      <c r="B61" s="179" t="s">
        <v>149</v>
      </c>
      <c r="C61" s="151" t="s">
        <v>10</v>
      </c>
      <c r="D61" s="194" t="s">
        <v>150</v>
      </c>
      <c r="E61" s="179" t="s">
        <v>11</v>
      </c>
      <c r="F61" s="42">
        <f>MEMÓRIA!D37</f>
        <v>42</v>
      </c>
      <c r="G61" s="43">
        <v>63.48</v>
      </c>
      <c r="H61" s="88">
        <f>H12*G61+G61</f>
        <v>77.743956</v>
      </c>
      <c r="I61" s="44">
        <f aca="true" t="shared" si="4" ref="I61:I68">H61*F61</f>
        <v>3265.2461519999997</v>
      </c>
      <c r="J61" s="232"/>
      <c r="K61" s="232"/>
      <c r="L61" s="232"/>
      <c r="M61" s="232"/>
    </row>
    <row r="62" spans="1:13" s="89" customFormat="1" ht="32.25" customHeight="1" hidden="1">
      <c r="A62" s="40" t="s">
        <v>183</v>
      </c>
      <c r="B62" s="179" t="s">
        <v>52</v>
      </c>
      <c r="C62" s="151" t="s">
        <v>10</v>
      </c>
      <c r="D62" s="194" t="s">
        <v>46</v>
      </c>
      <c r="E62" s="179" t="s">
        <v>20</v>
      </c>
      <c r="F62" s="42">
        <f>MEMÓRIA!D38</f>
        <v>3.84</v>
      </c>
      <c r="G62" s="43">
        <v>58.41</v>
      </c>
      <c r="H62" s="88">
        <f>G62*H12+G62</f>
        <v>71.534727</v>
      </c>
      <c r="I62" s="44">
        <f t="shared" si="4"/>
        <v>274.69335168</v>
      </c>
      <c r="J62" s="232"/>
      <c r="K62" s="232"/>
      <c r="L62" s="232"/>
      <c r="M62" s="232"/>
    </row>
    <row r="63" spans="1:13" s="89" customFormat="1" ht="29.25" customHeight="1" hidden="1">
      <c r="A63" s="40" t="s">
        <v>184</v>
      </c>
      <c r="B63" s="179">
        <v>101616</v>
      </c>
      <c r="C63" s="151" t="s">
        <v>95</v>
      </c>
      <c r="D63" s="194" t="s">
        <v>151</v>
      </c>
      <c r="E63" s="179" t="s">
        <v>19</v>
      </c>
      <c r="F63" s="42">
        <f>MEMÓRIA!D39</f>
        <v>12.8</v>
      </c>
      <c r="G63" s="43">
        <v>7.07</v>
      </c>
      <c r="H63" s="88">
        <f>G63*H12+G63</f>
        <v>8.658629000000001</v>
      </c>
      <c r="I63" s="44">
        <f t="shared" si="4"/>
        <v>110.83045120000003</v>
      </c>
      <c r="J63" s="233"/>
      <c r="K63" s="232"/>
      <c r="L63" s="232"/>
      <c r="M63" s="232"/>
    </row>
    <row r="64" spans="1:13" s="89" customFormat="1" ht="18" customHeight="1" hidden="1">
      <c r="A64" s="40" t="s">
        <v>185</v>
      </c>
      <c r="B64" s="195" t="s">
        <v>53</v>
      </c>
      <c r="C64" s="151" t="s">
        <v>10</v>
      </c>
      <c r="D64" s="194" t="s">
        <v>47</v>
      </c>
      <c r="E64" s="179" t="s">
        <v>20</v>
      </c>
      <c r="F64" s="42">
        <f>MEMÓRIA!D40</f>
        <v>0.6400000000000001</v>
      </c>
      <c r="G64" s="43">
        <v>171.37</v>
      </c>
      <c r="H64" s="88">
        <f>G64*H12+G64</f>
        <v>209.87683900000002</v>
      </c>
      <c r="I64" s="44">
        <f t="shared" si="4"/>
        <v>134.32117696000003</v>
      </c>
      <c r="J64" s="232"/>
      <c r="K64" s="232"/>
      <c r="L64" s="232"/>
      <c r="M64" s="232"/>
    </row>
    <row r="65" spans="1:13" s="89" customFormat="1" ht="18" customHeight="1" hidden="1">
      <c r="A65" s="40" t="s">
        <v>186</v>
      </c>
      <c r="B65" s="179" t="s">
        <v>56</v>
      </c>
      <c r="C65" s="151" t="s">
        <v>10</v>
      </c>
      <c r="D65" s="194" t="s">
        <v>50</v>
      </c>
      <c r="E65" s="179" t="s">
        <v>19</v>
      </c>
      <c r="F65" s="42">
        <f>MEMÓRIA!D41</f>
        <v>38.4</v>
      </c>
      <c r="G65" s="43">
        <v>98.55</v>
      </c>
      <c r="H65" s="88">
        <f>G65*H12+G65</f>
        <v>120.694185</v>
      </c>
      <c r="I65" s="44">
        <f t="shared" si="4"/>
        <v>4634.656704</v>
      </c>
      <c r="J65" s="232"/>
      <c r="K65" s="232"/>
      <c r="L65" s="232"/>
      <c r="M65" s="232"/>
    </row>
    <row r="66" spans="1:13" s="89" customFormat="1" ht="18" customHeight="1" hidden="1">
      <c r="A66" s="40" t="s">
        <v>187</v>
      </c>
      <c r="B66" s="179" t="s">
        <v>54</v>
      </c>
      <c r="C66" s="151" t="s">
        <v>10</v>
      </c>
      <c r="D66" s="194" t="s">
        <v>152</v>
      </c>
      <c r="E66" s="179" t="s">
        <v>20</v>
      </c>
      <c r="F66" s="42">
        <f>MEMÓRIA!D42</f>
        <v>3.84</v>
      </c>
      <c r="G66" s="43">
        <v>456.42</v>
      </c>
      <c r="H66" s="88">
        <f>G66*H12+G66</f>
        <v>558.977574</v>
      </c>
      <c r="I66" s="44">
        <f t="shared" si="4"/>
        <v>2146.47388416</v>
      </c>
      <c r="J66" s="232"/>
      <c r="K66" s="232"/>
      <c r="L66" s="232"/>
      <c r="M66" s="232"/>
    </row>
    <row r="67" spans="1:13" s="89" customFormat="1" ht="26.25" customHeight="1" hidden="1">
      <c r="A67" s="40" t="s">
        <v>194</v>
      </c>
      <c r="B67" s="179" t="s">
        <v>55</v>
      </c>
      <c r="C67" s="151" t="s">
        <v>10</v>
      </c>
      <c r="D67" s="194" t="s">
        <v>49</v>
      </c>
      <c r="E67" s="179" t="s">
        <v>20</v>
      </c>
      <c r="F67" s="42">
        <f>MEMÓRIA!D43</f>
        <v>3.84</v>
      </c>
      <c r="G67" s="43">
        <v>164.2</v>
      </c>
      <c r="H67" s="88">
        <f>G67*H12+G67</f>
        <v>201.09573999999998</v>
      </c>
      <c r="I67" s="44">
        <f t="shared" si="4"/>
        <v>772.2076415999999</v>
      </c>
      <c r="J67" s="232"/>
      <c r="K67" s="232"/>
      <c r="L67" s="232"/>
      <c r="M67" s="232"/>
    </row>
    <row r="68" spans="1:13" s="89" customFormat="1" ht="18" customHeight="1" hidden="1">
      <c r="A68" s="40" t="s">
        <v>195</v>
      </c>
      <c r="B68" s="179" t="s">
        <v>57</v>
      </c>
      <c r="C68" s="151" t="s">
        <v>10</v>
      </c>
      <c r="D68" s="194" t="s">
        <v>153</v>
      </c>
      <c r="E68" s="178" t="s">
        <v>14</v>
      </c>
      <c r="F68" s="42">
        <f>MEMÓRIA!D44</f>
        <v>268.8</v>
      </c>
      <c r="G68" s="43">
        <v>11.46</v>
      </c>
      <c r="H68" s="88">
        <f>G68*H12+G68</f>
        <v>14.035062000000002</v>
      </c>
      <c r="I68" s="44">
        <f t="shared" si="4"/>
        <v>3772.6246656000008</v>
      </c>
      <c r="J68" s="232"/>
      <c r="K68" s="232"/>
      <c r="L68" s="232"/>
      <c r="M68" s="232"/>
    </row>
    <row r="69" spans="1:13" s="89" customFormat="1" ht="18" customHeight="1" hidden="1">
      <c r="A69" s="181" t="s">
        <v>188</v>
      </c>
      <c r="B69" s="218"/>
      <c r="C69" s="218"/>
      <c r="D69" s="219" t="s">
        <v>154</v>
      </c>
      <c r="E69" s="220"/>
      <c r="F69" s="221"/>
      <c r="G69" s="222"/>
      <c r="H69" s="223"/>
      <c r="I69" s="224">
        <f>SUM(I70:I73)</f>
        <v>2831.2379457600005</v>
      </c>
      <c r="J69" s="232"/>
      <c r="K69" s="232"/>
      <c r="L69" s="232"/>
      <c r="M69" s="232"/>
    </row>
    <row r="70" spans="1:13" s="89" customFormat="1" ht="18" customHeight="1" hidden="1">
      <c r="A70" s="40" t="s">
        <v>196</v>
      </c>
      <c r="B70" s="179" t="s">
        <v>56</v>
      </c>
      <c r="C70" s="151" t="s">
        <v>10</v>
      </c>
      <c r="D70" s="26" t="s">
        <v>50</v>
      </c>
      <c r="E70" s="179" t="s">
        <v>19</v>
      </c>
      <c r="F70" s="120">
        <f>MEMÓRIA!D46</f>
        <v>8.4</v>
      </c>
      <c r="G70" s="43">
        <v>98.55</v>
      </c>
      <c r="H70" s="88">
        <f>G70*H12+G70</f>
        <v>120.694185</v>
      </c>
      <c r="I70" s="44">
        <f aca="true" t="shared" si="5" ref="I70:I73">H70*F70</f>
        <v>1013.8311540000001</v>
      </c>
      <c r="J70" s="232"/>
      <c r="K70" s="232"/>
      <c r="L70" s="232"/>
      <c r="M70" s="232"/>
    </row>
    <row r="71" spans="1:13" s="89" customFormat="1" ht="18" customHeight="1" hidden="1">
      <c r="A71" s="40" t="s">
        <v>197</v>
      </c>
      <c r="B71" s="179" t="s">
        <v>54</v>
      </c>
      <c r="C71" s="151" t="s">
        <v>10</v>
      </c>
      <c r="D71" s="26" t="s">
        <v>152</v>
      </c>
      <c r="E71" s="179" t="s">
        <v>20</v>
      </c>
      <c r="F71" s="120">
        <f>MEMÓRIA!D47</f>
        <v>0.8400000000000002</v>
      </c>
      <c r="G71" s="43">
        <v>456.42</v>
      </c>
      <c r="H71" s="88">
        <f>G71*H12+G71</f>
        <v>558.977574</v>
      </c>
      <c r="I71" s="44">
        <f t="shared" si="5"/>
        <v>469.5411621600001</v>
      </c>
      <c r="J71" s="232"/>
      <c r="K71" s="232"/>
      <c r="L71" s="232"/>
      <c r="M71" s="232"/>
    </row>
    <row r="72" spans="1:13" s="89" customFormat="1" ht="18" customHeight="1" hidden="1">
      <c r="A72" s="40" t="s">
        <v>198</v>
      </c>
      <c r="B72" s="179" t="s">
        <v>55</v>
      </c>
      <c r="C72" s="151" t="s">
        <v>10</v>
      </c>
      <c r="D72" s="26" t="s">
        <v>49</v>
      </c>
      <c r="E72" s="179" t="s">
        <v>20</v>
      </c>
      <c r="F72" s="120">
        <f>MEMÓRIA!D48</f>
        <v>0.8400000000000002</v>
      </c>
      <c r="G72" s="43">
        <v>164.2</v>
      </c>
      <c r="H72" s="88">
        <f>G72*H12+G72</f>
        <v>201.09573999999998</v>
      </c>
      <c r="I72" s="44">
        <f t="shared" si="5"/>
        <v>168.92042160000003</v>
      </c>
      <c r="J72" s="232"/>
      <c r="K72" s="232"/>
      <c r="L72" s="232"/>
      <c r="M72" s="232"/>
    </row>
    <row r="73" spans="1:13" s="89" customFormat="1" ht="18" customHeight="1" hidden="1">
      <c r="A73" s="40" t="s">
        <v>199</v>
      </c>
      <c r="B73" s="179" t="s">
        <v>57</v>
      </c>
      <c r="C73" s="151" t="s">
        <v>10</v>
      </c>
      <c r="D73" s="26" t="s">
        <v>153</v>
      </c>
      <c r="E73" s="178" t="s">
        <v>14</v>
      </c>
      <c r="F73" s="139">
        <f>MEMÓRIA!D49</f>
        <v>84.00000000000001</v>
      </c>
      <c r="G73" s="43">
        <v>11.46</v>
      </c>
      <c r="H73" s="88">
        <f>G73*H12+G73</f>
        <v>14.035062000000002</v>
      </c>
      <c r="I73" s="44">
        <f t="shared" si="5"/>
        <v>1178.9452080000003</v>
      </c>
      <c r="J73" s="232"/>
      <c r="K73" s="232"/>
      <c r="L73" s="232"/>
      <c r="M73" s="232"/>
    </row>
    <row r="74" spans="1:13" s="89" customFormat="1" ht="18" customHeight="1" hidden="1">
      <c r="A74" s="181" t="s">
        <v>37</v>
      </c>
      <c r="B74" s="218"/>
      <c r="C74" s="218"/>
      <c r="D74" s="219" t="s">
        <v>155</v>
      </c>
      <c r="E74" s="220"/>
      <c r="F74" s="221"/>
      <c r="G74" s="222"/>
      <c r="H74" s="223"/>
      <c r="I74" s="224">
        <f>SUM(I75:I79)</f>
        <v>37562.822688</v>
      </c>
      <c r="J74" s="232"/>
      <c r="K74" s="232"/>
      <c r="L74" s="232"/>
      <c r="M74" s="232"/>
    </row>
    <row r="75" spans="1:13" s="89" customFormat="1" ht="30" customHeight="1" hidden="1">
      <c r="A75" s="40" t="s">
        <v>200</v>
      </c>
      <c r="B75" s="178" t="s">
        <v>156</v>
      </c>
      <c r="C75" s="151" t="s">
        <v>10</v>
      </c>
      <c r="D75" s="194" t="s">
        <v>157</v>
      </c>
      <c r="E75" s="178" t="s">
        <v>20</v>
      </c>
      <c r="F75" s="139">
        <f>MEMÓRIA!D51</f>
        <v>144</v>
      </c>
      <c r="G75" s="43">
        <v>17.75</v>
      </c>
      <c r="H75" s="88">
        <f>G75*H12+G75</f>
        <v>21.738425</v>
      </c>
      <c r="I75" s="44">
        <f aca="true" t="shared" si="6" ref="I75:I79">H75*F75</f>
        <v>3130.3332</v>
      </c>
      <c r="J75" s="232"/>
      <c r="K75" s="232"/>
      <c r="L75" s="232"/>
      <c r="M75" s="232"/>
    </row>
    <row r="76" spans="1:13" s="89" customFormat="1" ht="33" customHeight="1" hidden="1">
      <c r="A76" s="40" t="s">
        <v>201</v>
      </c>
      <c r="B76" s="179" t="s">
        <v>93</v>
      </c>
      <c r="C76" s="151" t="s">
        <v>10</v>
      </c>
      <c r="D76" s="225" t="s">
        <v>92</v>
      </c>
      <c r="E76" s="179" t="s">
        <v>19</v>
      </c>
      <c r="F76" s="120">
        <f>MEMÓRIA!D52</f>
        <v>240</v>
      </c>
      <c r="G76" s="43">
        <v>4.09</v>
      </c>
      <c r="H76" s="88">
        <f>G76*H12+G76</f>
        <v>5.009023</v>
      </c>
      <c r="I76" s="44">
        <f t="shared" si="6"/>
        <v>1202.16552</v>
      </c>
      <c r="J76" s="232"/>
      <c r="K76" s="232"/>
      <c r="L76" s="232"/>
      <c r="M76" s="232"/>
    </row>
    <row r="77" spans="1:13" s="89" customFormat="1" ht="18" customHeight="1" hidden="1">
      <c r="A77" s="40" t="s">
        <v>202</v>
      </c>
      <c r="B77" s="179" t="s">
        <v>158</v>
      </c>
      <c r="C77" s="151" t="s">
        <v>10</v>
      </c>
      <c r="D77" s="26" t="s">
        <v>159</v>
      </c>
      <c r="E77" s="179" t="s">
        <v>20</v>
      </c>
      <c r="F77" s="120">
        <f>MEMÓRIA!D53</f>
        <v>12</v>
      </c>
      <c r="G77" s="43">
        <v>240.02</v>
      </c>
      <c r="H77" s="88">
        <f>G77*H12+G77</f>
        <v>293.952494</v>
      </c>
      <c r="I77" s="44">
        <f t="shared" si="6"/>
        <v>3527.429928</v>
      </c>
      <c r="J77" s="232"/>
      <c r="K77" s="232"/>
      <c r="L77" s="232"/>
      <c r="M77" s="232"/>
    </row>
    <row r="78" spans="1:13" s="89" customFormat="1" ht="18" customHeight="1" hidden="1">
      <c r="A78" s="40" t="s">
        <v>203</v>
      </c>
      <c r="B78" s="179" t="s">
        <v>160</v>
      </c>
      <c r="C78" s="151" t="s">
        <v>10</v>
      </c>
      <c r="D78" s="26" t="s">
        <v>161</v>
      </c>
      <c r="E78" s="179" t="s">
        <v>20</v>
      </c>
      <c r="F78" s="120">
        <f>MEMÓRIA!D54</f>
        <v>12</v>
      </c>
      <c r="G78" s="43">
        <v>200.9</v>
      </c>
      <c r="H78" s="88">
        <f>G78*H12+G78</f>
        <v>246.04223000000002</v>
      </c>
      <c r="I78" s="44">
        <f t="shared" si="6"/>
        <v>2952.50676</v>
      </c>
      <c r="J78" s="232"/>
      <c r="K78" s="232"/>
      <c r="L78" s="232"/>
      <c r="M78" s="232"/>
    </row>
    <row r="79" spans="1:13" s="89" customFormat="1" ht="18" customHeight="1" hidden="1">
      <c r="A79" s="40" t="s">
        <v>204</v>
      </c>
      <c r="B79" s="179" t="s">
        <v>162</v>
      </c>
      <c r="C79" s="151" t="s">
        <v>10</v>
      </c>
      <c r="D79" s="26" t="s">
        <v>163</v>
      </c>
      <c r="E79" s="179" t="s">
        <v>20</v>
      </c>
      <c r="F79" s="120">
        <f>MEMÓRIA!D55</f>
        <v>120</v>
      </c>
      <c r="G79" s="43">
        <v>182.02</v>
      </c>
      <c r="H79" s="88">
        <f>G79*H12+G79</f>
        <v>222.919894</v>
      </c>
      <c r="I79" s="44">
        <f t="shared" si="6"/>
        <v>26750.38728</v>
      </c>
      <c r="J79" s="232"/>
      <c r="K79" s="232"/>
      <c r="L79" s="232"/>
      <c r="M79" s="232"/>
    </row>
    <row r="80" spans="1:13" s="89" customFormat="1" ht="18" customHeight="1" hidden="1">
      <c r="A80" s="181" t="s">
        <v>38</v>
      </c>
      <c r="B80" s="218"/>
      <c r="C80" s="218"/>
      <c r="D80" s="219" t="s">
        <v>164</v>
      </c>
      <c r="E80" s="220"/>
      <c r="F80" s="221"/>
      <c r="G80" s="222"/>
      <c r="H80" s="223"/>
      <c r="I80" s="224">
        <f>SUM(I81:I84)</f>
        <v>10066.1620136</v>
      </c>
      <c r="J80" s="232"/>
      <c r="K80" s="232"/>
      <c r="L80" s="232"/>
      <c r="M80" s="232"/>
    </row>
    <row r="81" spans="1:13" s="89" customFormat="1" ht="27" customHeight="1" hidden="1">
      <c r="A81" s="40" t="s">
        <v>205</v>
      </c>
      <c r="B81" s="179" t="s">
        <v>165</v>
      </c>
      <c r="C81" s="151" t="s">
        <v>10</v>
      </c>
      <c r="D81" s="194" t="s">
        <v>166</v>
      </c>
      <c r="E81" s="179" t="s">
        <v>19</v>
      </c>
      <c r="F81" s="120">
        <f>MEMÓRIA!D57</f>
        <v>62.8</v>
      </c>
      <c r="G81" s="43">
        <v>92.26</v>
      </c>
      <c r="H81" s="88">
        <f>G81*H12+G81</f>
        <v>112.99082200000001</v>
      </c>
      <c r="I81" s="44">
        <f aca="true" t="shared" si="7" ref="I81:I83">H81*F81</f>
        <v>7095.8236216000005</v>
      </c>
      <c r="J81" s="232"/>
      <c r="K81" s="232"/>
      <c r="L81" s="232"/>
      <c r="M81" s="232"/>
    </row>
    <row r="82" spans="1:13" s="89" customFormat="1" ht="18" customHeight="1" hidden="1">
      <c r="A82" s="40" t="s">
        <v>206</v>
      </c>
      <c r="B82" s="179" t="s">
        <v>28</v>
      </c>
      <c r="C82" s="151" t="s">
        <v>10</v>
      </c>
      <c r="D82" s="26" t="s">
        <v>26</v>
      </c>
      <c r="E82" s="179" t="s">
        <v>19</v>
      </c>
      <c r="F82" s="120">
        <f>MEMÓRIA!D58</f>
        <v>48.800000000000004</v>
      </c>
      <c r="G82" s="43">
        <v>6.93</v>
      </c>
      <c r="H82" s="88">
        <f>G82*H12+G82</f>
        <v>8.487171</v>
      </c>
      <c r="I82" s="44">
        <f t="shared" si="7"/>
        <v>414.1739448</v>
      </c>
      <c r="J82" s="232"/>
      <c r="K82" s="232"/>
      <c r="L82" s="232"/>
      <c r="M82" s="232"/>
    </row>
    <row r="83" spans="1:13" s="89" customFormat="1" ht="18" customHeight="1" hidden="1">
      <c r="A83" s="40" t="s">
        <v>207</v>
      </c>
      <c r="B83" s="179" t="s">
        <v>29</v>
      </c>
      <c r="C83" s="151" t="s">
        <v>10</v>
      </c>
      <c r="D83" s="26" t="s">
        <v>27</v>
      </c>
      <c r="E83" s="179" t="s">
        <v>19</v>
      </c>
      <c r="F83" s="120">
        <f>MEMÓRIA!D59</f>
        <v>48.800000000000004</v>
      </c>
      <c r="G83" s="43">
        <v>12.83</v>
      </c>
      <c r="H83" s="88">
        <f>G83*H12+G83</f>
        <v>15.712901</v>
      </c>
      <c r="I83" s="44">
        <f t="shared" si="7"/>
        <v>766.7895688000001</v>
      </c>
      <c r="J83" s="232"/>
      <c r="K83" s="232"/>
      <c r="L83" s="232"/>
      <c r="M83" s="232"/>
    </row>
    <row r="84" spans="1:13" s="89" customFormat="1" ht="18" customHeight="1" hidden="1">
      <c r="A84" s="40" t="s">
        <v>358</v>
      </c>
      <c r="B84" s="154" t="s">
        <v>58</v>
      </c>
      <c r="C84" s="152" t="s">
        <v>10</v>
      </c>
      <c r="D84" s="25" t="s">
        <v>96</v>
      </c>
      <c r="E84" s="157" t="s">
        <v>19</v>
      </c>
      <c r="F84" s="120">
        <f>F83</f>
        <v>48.800000000000004</v>
      </c>
      <c r="G84" s="43">
        <v>29.94</v>
      </c>
      <c r="H84" s="88">
        <f>G84*H12+G84</f>
        <v>36.667518</v>
      </c>
      <c r="I84" s="176">
        <f>H84*F84</f>
        <v>1789.3748784000002</v>
      </c>
      <c r="J84" s="232"/>
      <c r="K84" s="232"/>
      <c r="L84" s="232"/>
      <c r="M84" s="232"/>
    </row>
    <row r="85" spans="1:13" s="89" customFormat="1" ht="18" customHeight="1" hidden="1">
      <c r="A85" s="181" t="s">
        <v>39</v>
      </c>
      <c r="B85" s="218"/>
      <c r="C85" s="218"/>
      <c r="D85" s="219" t="s">
        <v>167</v>
      </c>
      <c r="E85" s="220"/>
      <c r="F85" s="221"/>
      <c r="G85" s="222"/>
      <c r="H85" s="223"/>
      <c r="I85" s="224">
        <f>SUM(I86:I88)</f>
        <v>7600.651238187501</v>
      </c>
      <c r="J85" s="232"/>
      <c r="K85" s="232"/>
      <c r="L85" s="232"/>
      <c r="M85" s="232"/>
    </row>
    <row r="86" spans="1:13" s="89" customFormat="1" ht="33.75" customHeight="1" hidden="1">
      <c r="A86" s="40" t="s">
        <v>208</v>
      </c>
      <c r="B86" s="178" t="s">
        <v>168</v>
      </c>
      <c r="C86" s="151" t="s">
        <v>10</v>
      </c>
      <c r="D86" s="225" t="s">
        <v>169</v>
      </c>
      <c r="E86" s="178" t="s">
        <v>11</v>
      </c>
      <c r="F86" s="139">
        <f>MEMÓRIA!D61</f>
        <v>115</v>
      </c>
      <c r="G86" s="43">
        <v>18.44</v>
      </c>
      <c r="H86" s="88">
        <f>G86*H12+G86</f>
        <v>22.583468000000003</v>
      </c>
      <c r="I86" s="44">
        <f aca="true" t="shared" si="8" ref="I86:I88">H86*F86</f>
        <v>2597.0988200000006</v>
      </c>
      <c r="J86" s="232"/>
      <c r="K86" s="232"/>
      <c r="L86" s="232"/>
      <c r="M86" s="232"/>
    </row>
    <row r="87" spans="1:13" s="89" customFormat="1" ht="30.75" customHeight="1" hidden="1">
      <c r="A87" s="40" t="s">
        <v>209</v>
      </c>
      <c r="B87" s="179" t="s">
        <v>170</v>
      </c>
      <c r="C87" s="151" t="s">
        <v>10</v>
      </c>
      <c r="D87" s="194" t="s">
        <v>171</v>
      </c>
      <c r="E87" s="179" t="s">
        <v>19</v>
      </c>
      <c r="F87" s="120">
        <f>MEMÓRIA!D62</f>
        <v>2.5875</v>
      </c>
      <c r="G87" s="43">
        <v>21.35</v>
      </c>
      <c r="H87" s="88">
        <f>G87*H12+G87</f>
        <v>26.147345</v>
      </c>
      <c r="I87" s="44">
        <f t="shared" si="8"/>
        <v>67.65625518750001</v>
      </c>
      <c r="J87" s="232"/>
      <c r="K87" s="232"/>
      <c r="L87" s="232"/>
      <c r="M87" s="232"/>
    </row>
    <row r="88" spans="1:13" s="89" customFormat="1" ht="27.75" customHeight="1" hidden="1">
      <c r="A88" s="40" t="s">
        <v>210</v>
      </c>
      <c r="B88" s="179" t="s">
        <v>52</v>
      </c>
      <c r="C88" s="151" t="s">
        <v>10</v>
      </c>
      <c r="D88" s="194" t="s">
        <v>46</v>
      </c>
      <c r="E88" s="179" t="s">
        <v>20</v>
      </c>
      <c r="F88" s="120">
        <f>MEMÓRIA!D63</f>
        <v>69</v>
      </c>
      <c r="G88" s="43">
        <v>58.41</v>
      </c>
      <c r="H88" s="88">
        <f>G88*H12+G88</f>
        <v>71.534727</v>
      </c>
      <c r="I88" s="44">
        <f t="shared" si="8"/>
        <v>4935.896163</v>
      </c>
      <c r="J88" s="232"/>
      <c r="K88" s="232"/>
      <c r="L88" s="232"/>
      <c r="M88" s="232"/>
    </row>
    <row r="89" spans="1:13" s="89" customFormat="1" ht="15.75" customHeight="1" hidden="1">
      <c r="A89" s="181" t="s">
        <v>40</v>
      </c>
      <c r="B89" s="218"/>
      <c r="C89" s="218"/>
      <c r="D89" s="219" t="s">
        <v>172</v>
      </c>
      <c r="E89" s="220"/>
      <c r="F89" s="221"/>
      <c r="G89" s="222"/>
      <c r="H89" s="223"/>
      <c r="I89" s="224">
        <f>SUM(I90:I91)</f>
        <v>91872.291152</v>
      </c>
      <c r="J89" s="232"/>
      <c r="K89" s="232"/>
      <c r="L89" s="232"/>
      <c r="M89" s="232"/>
    </row>
    <row r="90" spans="1:13" s="89" customFormat="1" ht="30" customHeight="1" hidden="1">
      <c r="A90" s="40" t="s">
        <v>211</v>
      </c>
      <c r="B90" s="179" t="s">
        <v>173</v>
      </c>
      <c r="C90" s="151" t="s">
        <v>10</v>
      </c>
      <c r="D90" s="194" t="s">
        <v>174</v>
      </c>
      <c r="E90" s="178" t="s">
        <v>19</v>
      </c>
      <c r="F90" s="139">
        <f>MEMÓRIA!D65</f>
        <v>250</v>
      </c>
      <c r="G90" s="43">
        <v>280.61</v>
      </c>
      <c r="H90" s="88">
        <f>G90*H12+G90</f>
        <v>343.663067</v>
      </c>
      <c r="I90" s="44">
        <f aca="true" t="shared" si="9" ref="I90:I91">H90*F90</f>
        <v>85915.76675000001</v>
      </c>
      <c r="J90" s="232"/>
      <c r="K90" s="232"/>
      <c r="L90" s="232"/>
      <c r="M90" s="232"/>
    </row>
    <row r="91" spans="1:13" s="89" customFormat="1" ht="31.5" customHeight="1" hidden="1">
      <c r="A91" s="40" t="s">
        <v>212</v>
      </c>
      <c r="B91" s="179" t="s">
        <v>175</v>
      </c>
      <c r="C91" s="151" t="s">
        <v>10</v>
      </c>
      <c r="D91" s="194" t="s">
        <v>176</v>
      </c>
      <c r="E91" s="179" t="s">
        <v>19</v>
      </c>
      <c r="F91" s="120">
        <f>MEMÓRIA!D66</f>
        <v>6</v>
      </c>
      <c r="G91" s="43">
        <v>810.61</v>
      </c>
      <c r="H91" s="88">
        <f>G91*H12+G91</f>
        <v>992.7540670000001</v>
      </c>
      <c r="I91" s="44">
        <f t="shared" si="9"/>
        <v>5956.524402000001</v>
      </c>
      <c r="J91" s="232"/>
      <c r="K91" s="232"/>
      <c r="L91" s="232"/>
      <c r="M91" s="232"/>
    </row>
    <row r="92" spans="1:13" s="89" customFormat="1" ht="21.75" customHeight="1" hidden="1">
      <c r="A92" s="181" t="s">
        <v>41</v>
      </c>
      <c r="B92" s="218"/>
      <c r="C92" s="218"/>
      <c r="D92" s="219" t="s">
        <v>215</v>
      </c>
      <c r="E92" s="220"/>
      <c r="F92" s="221"/>
      <c r="G92" s="222"/>
      <c r="H92" s="223"/>
      <c r="I92" s="224">
        <f>SUM(I93:I96)</f>
        <v>26877.682598</v>
      </c>
      <c r="J92" s="232"/>
      <c r="K92" s="233"/>
      <c r="L92" s="232"/>
      <c r="M92" s="232"/>
    </row>
    <row r="93" spans="1:13" s="89" customFormat="1" ht="31.5" customHeight="1" hidden="1">
      <c r="A93" s="40" t="s">
        <v>216</v>
      </c>
      <c r="B93" s="179" t="s">
        <v>218</v>
      </c>
      <c r="C93" s="151" t="s">
        <v>10</v>
      </c>
      <c r="D93" s="197" t="s">
        <v>233</v>
      </c>
      <c r="E93" s="226">
        <v>4</v>
      </c>
      <c r="F93" s="227" t="s">
        <v>12</v>
      </c>
      <c r="G93" s="43">
        <v>2285.99</v>
      </c>
      <c r="H93" s="88">
        <f>G93*H12+G93</f>
        <v>2799.6519529999996</v>
      </c>
      <c r="I93" s="44">
        <f>H93*E93</f>
        <v>11198.607811999998</v>
      </c>
      <c r="J93" s="232"/>
      <c r="K93" s="232"/>
      <c r="L93" s="232"/>
      <c r="M93" s="232"/>
    </row>
    <row r="94" spans="1:13" s="89" customFormat="1" ht="31.5" customHeight="1" hidden="1">
      <c r="A94" s="40" t="s">
        <v>217</v>
      </c>
      <c r="B94" s="179" t="s">
        <v>219</v>
      </c>
      <c r="C94" s="151" t="s">
        <v>10</v>
      </c>
      <c r="D94" s="45" t="s">
        <v>220</v>
      </c>
      <c r="E94" s="157">
        <v>8</v>
      </c>
      <c r="F94" s="28" t="s">
        <v>12</v>
      </c>
      <c r="G94" s="43">
        <v>1404.3</v>
      </c>
      <c r="H94" s="88">
        <f>G94*H12+G94</f>
        <v>1719.84621</v>
      </c>
      <c r="I94" s="44">
        <f>H94*E94</f>
        <v>13758.76968</v>
      </c>
      <c r="J94" s="232"/>
      <c r="K94" s="232"/>
      <c r="L94" s="232"/>
      <c r="M94" s="232"/>
    </row>
    <row r="95" spans="1:13" s="89" customFormat="1" ht="31.5" customHeight="1" hidden="1">
      <c r="A95" s="40" t="s">
        <v>231</v>
      </c>
      <c r="B95" s="179" t="s">
        <v>227</v>
      </c>
      <c r="C95" s="151" t="s">
        <v>10</v>
      </c>
      <c r="D95" s="45" t="s">
        <v>228</v>
      </c>
      <c r="E95" s="157">
        <v>1</v>
      </c>
      <c r="F95" s="28" t="s">
        <v>12</v>
      </c>
      <c r="G95" s="43">
        <v>764.82</v>
      </c>
      <c r="H95" s="88">
        <f>G95*H12+G95</f>
        <v>936.675054</v>
      </c>
      <c r="I95" s="44">
        <f>H95*E95</f>
        <v>936.675054</v>
      </c>
      <c r="J95" s="232"/>
      <c r="K95" s="232"/>
      <c r="L95" s="232"/>
      <c r="M95" s="232"/>
    </row>
    <row r="96" spans="1:13" s="89" customFormat="1" ht="31.5" customHeight="1" hidden="1">
      <c r="A96" s="40" t="s">
        <v>232</v>
      </c>
      <c r="B96" s="179" t="s">
        <v>229</v>
      </c>
      <c r="C96" s="151" t="s">
        <v>10</v>
      </c>
      <c r="D96" s="45" t="s">
        <v>230</v>
      </c>
      <c r="E96" s="157">
        <v>6</v>
      </c>
      <c r="F96" s="28" t="s">
        <v>12</v>
      </c>
      <c r="G96" s="43">
        <v>133.86</v>
      </c>
      <c r="H96" s="88">
        <f>G96*H12+G96</f>
        <v>163.938342</v>
      </c>
      <c r="I96" s="44">
        <f>H96*E96</f>
        <v>983.630052</v>
      </c>
      <c r="J96" s="232"/>
      <c r="K96" s="232"/>
      <c r="L96" s="232"/>
      <c r="M96" s="232"/>
    </row>
    <row r="97" spans="1:13" s="89" customFormat="1" ht="36" customHeight="1">
      <c r="A97" s="181" t="s">
        <v>42</v>
      </c>
      <c r="B97" s="218"/>
      <c r="C97" s="218"/>
      <c r="D97" s="219" t="s">
        <v>313</v>
      </c>
      <c r="E97" s="220"/>
      <c r="F97" s="221"/>
      <c r="G97" s="222"/>
      <c r="H97" s="223"/>
      <c r="I97" s="224">
        <f>SUM(I98:I104)</f>
        <v>19627.8262713105</v>
      </c>
      <c r="J97" s="233">
        <f>I97</f>
        <v>19627.8262713105</v>
      </c>
      <c r="K97" s="233"/>
      <c r="L97" s="232"/>
      <c r="M97" s="232"/>
    </row>
    <row r="98" spans="1:13" s="89" customFormat="1" ht="31.5" customHeight="1" hidden="1">
      <c r="A98" s="137" t="s">
        <v>43</v>
      </c>
      <c r="B98" s="28" t="s">
        <v>52</v>
      </c>
      <c r="C98" s="150" t="s">
        <v>10</v>
      </c>
      <c r="D98" s="194" t="s">
        <v>46</v>
      </c>
      <c r="E98" s="180">
        <f>MEMÓRIA!D68</f>
        <v>1.974</v>
      </c>
      <c r="F98" s="24" t="s">
        <v>20</v>
      </c>
      <c r="G98" s="43">
        <v>58.41</v>
      </c>
      <c r="H98" s="88">
        <f>G98*H12+G98</f>
        <v>71.534727</v>
      </c>
      <c r="I98" s="44">
        <f>H98*E98</f>
        <v>141.20955109800002</v>
      </c>
      <c r="J98" s="232"/>
      <c r="K98" s="232"/>
      <c r="L98" s="232"/>
      <c r="M98" s="232"/>
    </row>
    <row r="99" spans="1:13" s="89" customFormat="1" ht="24" customHeight="1" hidden="1">
      <c r="A99" s="137" t="s">
        <v>238</v>
      </c>
      <c r="B99" s="24" t="s">
        <v>53</v>
      </c>
      <c r="C99" s="150" t="s">
        <v>10</v>
      </c>
      <c r="D99" s="25" t="s">
        <v>47</v>
      </c>
      <c r="E99" s="180">
        <f>MEMÓRIA!D69</f>
        <v>0.4935</v>
      </c>
      <c r="F99" s="24" t="s">
        <v>20</v>
      </c>
      <c r="G99" s="43">
        <v>171.37</v>
      </c>
      <c r="H99" s="88">
        <f>G99*H12+G99</f>
        <v>209.87683900000002</v>
      </c>
      <c r="I99" s="44">
        <f aca="true" t="shared" si="10" ref="I99:I104">H99*E99</f>
        <v>103.5742200465</v>
      </c>
      <c r="J99" s="232"/>
      <c r="K99" s="232"/>
      <c r="L99" s="232"/>
      <c r="M99" s="232"/>
    </row>
    <row r="100" spans="1:13" s="89" customFormat="1" ht="24" customHeight="1" hidden="1">
      <c r="A100" s="137" t="s">
        <v>239</v>
      </c>
      <c r="B100" s="24" t="s">
        <v>54</v>
      </c>
      <c r="C100" s="150" t="s">
        <v>10</v>
      </c>
      <c r="D100" s="25" t="s">
        <v>48</v>
      </c>
      <c r="E100" s="180">
        <f>MEMÓRIA!D70</f>
        <v>5.499</v>
      </c>
      <c r="F100" s="24" t="s">
        <v>20</v>
      </c>
      <c r="G100" s="43">
        <v>456.42</v>
      </c>
      <c r="H100" s="88">
        <f>G100*H12+G100</f>
        <v>558.977574</v>
      </c>
      <c r="I100" s="44">
        <f t="shared" si="10"/>
        <v>3073.817679426</v>
      </c>
      <c r="J100" s="232"/>
      <c r="K100" s="232"/>
      <c r="L100" s="232"/>
      <c r="M100" s="232"/>
    </row>
    <row r="101" spans="1:13" s="89" customFormat="1" ht="27.75" customHeight="1" hidden="1">
      <c r="A101" s="137" t="s">
        <v>240</v>
      </c>
      <c r="B101" s="30" t="s">
        <v>55</v>
      </c>
      <c r="C101" s="150" t="s">
        <v>10</v>
      </c>
      <c r="D101" s="197" t="s">
        <v>49</v>
      </c>
      <c r="E101" s="180">
        <f>MEMÓRIA!D71</f>
        <v>5.499</v>
      </c>
      <c r="F101" s="24" t="s">
        <v>20</v>
      </c>
      <c r="G101" s="43">
        <v>164.2</v>
      </c>
      <c r="H101" s="88">
        <f>G101*H12+G101</f>
        <v>201.09573999999998</v>
      </c>
      <c r="I101" s="44">
        <f t="shared" si="10"/>
        <v>1105.8254742599997</v>
      </c>
      <c r="J101" s="232"/>
      <c r="K101" s="232"/>
      <c r="L101" s="232"/>
      <c r="M101" s="232"/>
    </row>
    <row r="102" spans="1:13" s="89" customFormat="1" ht="24" customHeight="1" hidden="1">
      <c r="A102" s="137" t="s">
        <v>241</v>
      </c>
      <c r="B102" s="24" t="s">
        <v>56</v>
      </c>
      <c r="C102" s="150" t="s">
        <v>10</v>
      </c>
      <c r="D102" s="25" t="s">
        <v>50</v>
      </c>
      <c r="E102" s="180">
        <f>MEMÓRIA!D72</f>
        <v>73.32</v>
      </c>
      <c r="F102" s="24" t="s">
        <v>19</v>
      </c>
      <c r="G102" s="43">
        <v>98.55</v>
      </c>
      <c r="H102" s="88">
        <f>G102*H12+G102</f>
        <v>120.694185</v>
      </c>
      <c r="I102" s="44">
        <f t="shared" si="10"/>
        <v>8849.2976442</v>
      </c>
      <c r="J102" s="232"/>
      <c r="K102" s="232"/>
      <c r="L102" s="232"/>
      <c r="M102" s="232"/>
    </row>
    <row r="103" spans="1:13" s="89" customFormat="1" ht="24" customHeight="1" hidden="1">
      <c r="A103" s="137" t="s">
        <v>242</v>
      </c>
      <c r="B103" s="24" t="s">
        <v>57</v>
      </c>
      <c r="C103" s="150" t="s">
        <v>10</v>
      </c>
      <c r="D103" s="25" t="s">
        <v>51</v>
      </c>
      <c r="E103" s="180">
        <f>MEMÓRIA!D73</f>
        <v>329.94</v>
      </c>
      <c r="F103" s="24" t="s">
        <v>14</v>
      </c>
      <c r="G103" s="43">
        <v>11.46</v>
      </c>
      <c r="H103" s="88">
        <f>G103*H12+G103</f>
        <v>14.035062000000002</v>
      </c>
      <c r="I103" s="44">
        <f t="shared" si="10"/>
        <v>4630.72835628</v>
      </c>
      <c r="J103" s="232"/>
      <c r="K103" s="232"/>
      <c r="L103" s="232"/>
      <c r="M103" s="232"/>
    </row>
    <row r="104" spans="1:13" s="89" customFormat="1" ht="24" customHeight="1" hidden="1">
      <c r="A104" s="137" t="s">
        <v>243</v>
      </c>
      <c r="B104" s="24" t="s">
        <v>58</v>
      </c>
      <c r="C104" s="152" t="s">
        <v>10</v>
      </c>
      <c r="D104" s="25" t="s">
        <v>96</v>
      </c>
      <c r="E104" s="157">
        <f>MEMÓRIA!D74</f>
        <v>47.00000000000001</v>
      </c>
      <c r="F104" s="28" t="s">
        <v>19</v>
      </c>
      <c r="G104" s="43">
        <v>29.94</v>
      </c>
      <c r="H104" s="88">
        <f>G104*H12+G104</f>
        <v>36.667518</v>
      </c>
      <c r="I104" s="44">
        <f t="shared" si="10"/>
        <v>1723.3733460000003</v>
      </c>
      <c r="J104" s="232"/>
      <c r="K104" s="232"/>
      <c r="L104" s="232"/>
      <c r="M104" s="232"/>
    </row>
    <row r="105" spans="1:13" s="89" customFormat="1" ht="36" customHeight="1">
      <c r="A105" s="181" t="s">
        <v>299</v>
      </c>
      <c r="B105" s="218"/>
      <c r="C105" s="218"/>
      <c r="D105" s="219" t="s">
        <v>300</v>
      </c>
      <c r="E105" s="220"/>
      <c r="F105" s="221"/>
      <c r="G105" s="222"/>
      <c r="H105" s="223"/>
      <c r="I105" s="224">
        <f>PLANILHA!I105</f>
        <v>9995.105409479998</v>
      </c>
      <c r="J105" s="232"/>
      <c r="K105" s="232"/>
      <c r="L105" s="233">
        <f>I105</f>
        <v>9995.105409479998</v>
      </c>
      <c r="M105" s="232"/>
    </row>
    <row r="106" spans="1:13" s="89" customFormat="1" ht="36" customHeight="1" hidden="1">
      <c r="A106" s="40" t="s">
        <v>301</v>
      </c>
      <c r="B106" s="28" t="s">
        <v>52</v>
      </c>
      <c r="C106" s="41" t="s">
        <v>10</v>
      </c>
      <c r="D106" s="194" t="s">
        <v>46</v>
      </c>
      <c r="E106" s="145">
        <f>MEMÓRIA!D76</f>
        <v>1</v>
      </c>
      <c r="F106" s="24" t="s">
        <v>20</v>
      </c>
      <c r="G106" s="43">
        <v>58.41</v>
      </c>
      <c r="H106" s="88">
        <f>G106*H12+G106</f>
        <v>71.534727</v>
      </c>
      <c r="I106" s="44">
        <f>H106*E106</f>
        <v>71.534727</v>
      </c>
      <c r="J106" s="232"/>
      <c r="K106" s="232"/>
      <c r="L106" s="232"/>
      <c r="M106" s="232"/>
    </row>
    <row r="107" spans="1:13" s="89" customFormat="1" ht="24" customHeight="1" hidden="1">
      <c r="A107" s="40" t="s">
        <v>302</v>
      </c>
      <c r="B107" s="24" t="s">
        <v>54</v>
      </c>
      <c r="C107" s="41" t="s">
        <v>10</v>
      </c>
      <c r="D107" s="23" t="s">
        <v>48</v>
      </c>
      <c r="E107" s="145">
        <f>MEMÓRIA!D77</f>
        <v>1</v>
      </c>
      <c r="F107" s="24" t="s">
        <v>20</v>
      </c>
      <c r="G107" s="43">
        <v>456.42</v>
      </c>
      <c r="H107" s="88">
        <f>G107*H12+G107</f>
        <v>558.977574</v>
      </c>
      <c r="I107" s="44">
        <f aca="true" t="shared" si="11" ref="I107:I113">H107*E107</f>
        <v>558.977574</v>
      </c>
      <c r="J107" s="232"/>
      <c r="K107" s="232"/>
      <c r="L107" s="232"/>
      <c r="M107" s="232"/>
    </row>
    <row r="108" spans="1:13" s="89" customFormat="1" ht="36.75" customHeight="1" hidden="1">
      <c r="A108" s="40" t="s">
        <v>303</v>
      </c>
      <c r="B108" s="28" t="s">
        <v>55</v>
      </c>
      <c r="C108" s="41" t="s">
        <v>10</v>
      </c>
      <c r="D108" s="228" t="s">
        <v>49</v>
      </c>
      <c r="E108" s="145">
        <f>MEMÓRIA!D78</f>
        <v>1</v>
      </c>
      <c r="F108" s="24" t="s">
        <v>20</v>
      </c>
      <c r="G108" s="43">
        <v>164.2</v>
      </c>
      <c r="H108" s="88">
        <f>G108*H12+G108</f>
        <v>201.09573999999998</v>
      </c>
      <c r="I108" s="44">
        <f t="shared" si="11"/>
        <v>201.09573999999998</v>
      </c>
      <c r="J108" s="232"/>
      <c r="K108" s="232"/>
      <c r="L108" s="232"/>
      <c r="M108" s="232"/>
    </row>
    <row r="109" spans="1:13" s="89" customFormat="1" ht="32.25" customHeight="1" hidden="1">
      <c r="A109" s="40" t="s">
        <v>304</v>
      </c>
      <c r="B109" s="28">
        <v>35276</v>
      </c>
      <c r="C109" s="229" t="s">
        <v>291</v>
      </c>
      <c r="D109" s="45" t="s">
        <v>292</v>
      </c>
      <c r="E109" s="162">
        <f>MEMÓRIA!D79</f>
        <v>14</v>
      </c>
      <c r="F109" s="159" t="s">
        <v>11</v>
      </c>
      <c r="G109" s="43">
        <v>222.65</v>
      </c>
      <c r="H109" s="88">
        <f>G109*H12+G109</f>
        <v>272.679455</v>
      </c>
      <c r="I109" s="44">
        <f t="shared" si="11"/>
        <v>3817.5123700000004</v>
      </c>
      <c r="J109" s="232"/>
      <c r="K109" s="232"/>
      <c r="L109" s="232"/>
      <c r="M109" s="232"/>
    </row>
    <row r="110" spans="1:13" s="89" customFormat="1" ht="37.5" customHeight="1" hidden="1">
      <c r="A110" s="40" t="s">
        <v>305</v>
      </c>
      <c r="B110" s="28">
        <v>35272</v>
      </c>
      <c r="C110" s="229" t="s">
        <v>291</v>
      </c>
      <c r="D110" s="45" t="s">
        <v>293</v>
      </c>
      <c r="E110" s="42">
        <f>MEMÓRIA!D80</f>
        <v>4.8</v>
      </c>
      <c r="F110" s="41" t="s">
        <v>11</v>
      </c>
      <c r="G110" s="43">
        <v>60.5</v>
      </c>
      <c r="H110" s="88">
        <f>G110*H12+G110</f>
        <v>74.09435</v>
      </c>
      <c r="I110" s="44">
        <f t="shared" si="11"/>
        <v>355.65288000000004</v>
      </c>
      <c r="J110" s="232"/>
      <c r="K110" s="232"/>
      <c r="L110" s="232"/>
      <c r="M110" s="232"/>
    </row>
    <row r="111" spans="1:13" s="89" customFormat="1" ht="38.25" customHeight="1" hidden="1">
      <c r="A111" s="40" t="s">
        <v>306</v>
      </c>
      <c r="B111" s="28">
        <v>4472</v>
      </c>
      <c r="C111" s="229" t="s">
        <v>291</v>
      </c>
      <c r="D111" s="45" t="s">
        <v>294</v>
      </c>
      <c r="E111" s="162">
        <f>MEMÓRIA!D81</f>
        <v>45.5</v>
      </c>
      <c r="F111" s="159" t="s">
        <v>11</v>
      </c>
      <c r="G111" s="43">
        <v>41.85</v>
      </c>
      <c r="H111" s="88">
        <f>G111*H12+G111</f>
        <v>51.253695</v>
      </c>
      <c r="I111" s="44">
        <f t="shared" si="11"/>
        <v>2332.0431225</v>
      </c>
      <c r="J111" s="232"/>
      <c r="K111" s="232"/>
      <c r="L111" s="232"/>
      <c r="M111" s="232"/>
    </row>
    <row r="112" spans="1:13" s="89" customFormat="1" ht="37.5" customHeight="1" hidden="1">
      <c r="A112" s="40" t="s">
        <v>307</v>
      </c>
      <c r="B112" s="28" t="s">
        <v>295</v>
      </c>
      <c r="C112" s="28" t="s">
        <v>10</v>
      </c>
      <c r="D112" s="45" t="s">
        <v>296</v>
      </c>
      <c r="E112" s="162">
        <f>MEMÓRIA!D82</f>
        <v>64.3</v>
      </c>
      <c r="F112" s="159" t="s">
        <v>11</v>
      </c>
      <c r="G112" s="43">
        <v>16.36</v>
      </c>
      <c r="H112" s="88">
        <f>G112*H12+G112</f>
        <v>20.036092</v>
      </c>
      <c r="I112" s="44">
        <f t="shared" si="11"/>
        <v>1288.3207155999999</v>
      </c>
      <c r="J112" s="232"/>
      <c r="K112" s="232"/>
      <c r="L112" s="232"/>
      <c r="M112" s="232"/>
    </row>
    <row r="113" spans="1:13" s="89" customFormat="1" ht="19.5" customHeight="1" hidden="1">
      <c r="A113" s="40" t="s">
        <v>308</v>
      </c>
      <c r="B113" s="28" t="s">
        <v>297</v>
      </c>
      <c r="C113" s="28" t="s">
        <v>10</v>
      </c>
      <c r="D113" s="228" t="s">
        <v>298</v>
      </c>
      <c r="E113" s="162">
        <f>MEMÓRIA!D83</f>
        <v>41.019999999999996</v>
      </c>
      <c r="F113" s="159" t="s">
        <v>11</v>
      </c>
      <c r="G113" s="43">
        <v>27.27</v>
      </c>
      <c r="H113" s="88">
        <f>G113*H12+G113</f>
        <v>33.397569</v>
      </c>
      <c r="I113" s="44">
        <f t="shared" si="11"/>
        <v>1369.9682803799997</v>
      </c>
      <c r="J113" s="232"/>
      <c r="K113" s="232"/>
      <c r="L113" s="232"/>
      <c r="M113" s="232"/>
    </row>
    <row r="114" spans="1:13" s="89" customFormat="1" ht="33.75" customHeight="1">
      <c r="A114" s="181" t="s">
        <v>311</v>
      </c>
      <c r="B114" s="218"/>
      <c r="C114" s="218"/>
      <c r="D114" s="219" t="s">
        <v>312</v>
      </c>
      <c r="E114" s="220"/>
      <c r="F114" s="221"/>
      <c r="G114" s="222"/>
      <c r="H114" s="223"/>
      <c r="I114" s="224">
        <f>I115+I124+I129</f>
        <v>56837.027728017005</v>
      </c>
      <c r="J114" s="232"/>
      <c r="K114" s="232"/>
      <c r="L114" s="233">
        <f>I114/2</f>
        <v>28418.513864008502</v>
      </c>
      <c r="M114" s="233">
        <f>I114/2</f>
        <v>28418.513864008502</v>
      </c>
    </row>
    <row r="115" spans="1:13" s="89" customFormat="1" ht="24" customHeight="1" hidden="1">
      <c r="A115" s="181" t="s">
        <v>326</v>
      </c>
      <c r="B115" s="218"/>
      <c r="C115" s="218"/>
      <c r="D115" s="219" t="s">
        <v>45</v>
      </c>
      <c r="E115" s="220"/>
      <c r="F115" s="221"/>
      <c r="G115" s="222"/>
      <c r="H115" s="223"/>
      <c r="I115" s="224">
        <f>SUM(I116:I123)</f>
        <v>15969.401665873</v>
      </c>
      <c r="J115" s="232"/>
      <c r="K115" s="232"/>
      <c r="L115" s="232"/>
      <c r="M115" s="232"/>
    </row>
    <row r="116" spans="1:13" s="89" customFormat="1" ht="24" customHeight="1" hidden="1">
      <c r="A116" s="40" t="s">
        <v>359</v>
      </c>
      <c r="B116" s="179" t="s">
        <v>149</v>
      </c>
      <c r="C116" s="151" t="s">
        <v>10</v>
      </c>
      <c r="D116" s="194" t="s">
        <v>150</v>
      </c>
      <c r="E116" s="179" t="s">
        <v>11</v>
      </c>
      <c r="F116" s="42">
        <f>MEMÓRIA!D86</f>
        <v>56</v>
      </c>
      <c r="G116" s="43">
        <v>63.48</v>
      </c>
      <c r="H116" s="88">
        <f>G116*H12+G116</f>
        <v>77.743956</v>
      </c>
      <c r="I116" s="44">
        <f aca="true" t="shared" si="12" ref="I116:I132">H116*F116</f>
        <v>4353.661536</v>
      </c>
      <c r="J116" s="232"/>
      <c r="K116" s="232"/>
      <c r="L116" s="232"/>
      <c r="M116" s="232"/>
    </row>
    <row r="117" spans="1:13" s="89" customFormat="1" ht="29.25" customHeight="1" hidden="1">
      <c r="A117" s="40" t="s">
        <v>360</v>
      </c>
      <c r="B117" s="179" t="s">
        <v>52</v>
      </c>
      <c r="C117" s="151" t="s">
        <v>10</v>
      </c>
      <c r="D117" s="194" t="s">
        <v>46</v>
      </c>
      <c r="E117" s="179" t="s">
        <v>20</v>
      </c>
      <c r="F117" s="42">
        <f>MEMÓRIA!D87</f>
        <v>3.3132</v>
      </c>
      <c r="G117" s="43">
        <v>58.41</v>
      </c>
      <c r="H117" s="88">
        <f>G117*H12+G117</f>
        <v>71.534727</v>
      </c>
      <c r="I117" s="44">
        <f t="shared" si="12"/>
        <v>237.00885749640003</v>
      </c>
      <c r="J117" s="232"/>
      <c r="K117" s="232"/>
      <c r="L117" s="232"/>
      <c r="M117" s="232"/>
    </row>
    <row r="118" spans="1:13" s="89" customFormat="1" ht="33.75" customHeight="1" hidden="1">
      <c r="A118" s="40" t="s">
        <v>363</v>
      </c>
      <c r="B118" s="179">
        <v>101616</v>
      </c>
      <c r="C118" s="151" t="s">
        <v>95</v>
      </c>
      <c r="D118" s="194" t="s">
        <v>151</v>
      </c>
      <c r="E118" s="179" t="s">
        <v>19</v>
      </c>
      <c r="F118" s="42">
        <f>MEMÓRIA!D88</f>
        <v>11.044</v>
      </c>
      <c r="G118" s="43">
        <v>7.07</v>
      </c>
      <c r="H118" s="88">
        <f>G118*H12+G118</f>
        <v>8.658629000000001</v>
      </c>
      <c r="I118" s="44">
        <f t="shared" si="12"/>
        <v>95.62589867600002</v>
      </c>
      <c r="J118" s="232"/>
      <c r="K118" s="232"/>
      <c r="L118" s="232"/>
      <c r="M118" s="232"/>
    </row>
    <row r="119" spans="1:13" s="89" customFormat="1" ht="24" customHeight="1" hidden="1">
      <c r="A119" s="40" t="s">
        <v>364</v>
      </c>
      <c r="B119" s="195" t="s">
        <v>53</v>
      </c>
      <c r="C119" s="151" t="s">
        <v>10</v>
      </c>
      <c r="D119" s="194" t="s">
        <v>47</v>
      </c>
      <c r="E119" s="179" t="s">
        <v>20</v>
      </c>
      <c r="F119" s="42">
        <f>MEMÓRIA!D89</f>
        <v>0.5522</v>
      </c>
      <c r="G119" s="43">
        <v>171.37</v>
      </c>
      <c r="H119" s="88">
        <f>G119*H12+G119</f>
        <v>209.87683900000002</v>
      </c>
      <c r="I119" s="44">
        <f t="shared" si="12"/>
        <v>115.89399049580001</v>
      </c>
      <c r="J119" s="232"/>
      <c r="K119" s="232"/>
      <c r="L119" s="232"/>
      <c r="M119" s="232"/>
    </row>
    <row r="120" spans="1:13" s="89" customFormat="1" ht="24" customHeight="1" hidden="1">
      <c r="A120" s="40" t="s">
        <v>365</v>
      </c>
      <c r="B120" s="179" t="s">
        <v>56</v>
      </c>
      <c r="C120" s="151" t="s">
        <v>10</v>
      </c>
      <c r="D120" s="194" t="s">
        <v>50</v>
      </c>
      <c r="E120" s="179" t="s">
        <v>19</v>
      </c>
      <c r="F120" s="42">
        <f>MEMÓRIA!D90</f>
        <v>33.132</v>
      </c>
      <c r="G120" s="43">
        <v>98.55</v>
      </c>
      <c r="H120" s="88">
        <f>G120*H12+G120</f>
        <v>120.694185</v>
      </c>
      <c r="I120" s="44">
        <f t="shared" si="12"/>
        <v>3998.83973742</v>
      </c>
      <c r="J120" s="232"/>
      <c r="K120" s="232"/>
      <c r="L120" s="232"/>
      <c r="M120" s="232"/>
    </row>
    <row r="121" spans="1:13" s="89" customFormat="1" ht="24" customHeight="1" hidden="1">
      <c r="A121" s="40" t="s">
        <v>362</v>
      </c>
      <c r="B121" s="179" t="s">
        <v>54</v>
      </c>
      <c r="C121" s="151" t="s">
        <v>10</v>
      </c>
      <c r="D121" s="194" t="s">
        <v>152</v>
      </c>
      <c r="E121" s="179" t="s">
        <v>20</v>
      </c>
      <c r="F121" s="42">
        <f>MEMÓRIA!D91</f>
        <v>3.3132</v>
      </c>
      <c r="G121" s="43">
        <v>456.42</v>
      </c>
      <c r="H121" s="88">
        <f>G121*H12+G121</f>
        <v>558.977574</v>
      </c>
      <c r="I121" s="44">
        <f t="shared" si="12"/>
        <v>1852.0044981768</v>
      </c>
      <c r="J121" s="232"/>
      <c r="K121" s="232"/>
      <c r="L121" s="232"/>
      <c r="M121" s="232"/>
    </row>
    <row r="122" spans="1:13" s="89" customFormat="1" ht="28.5" customHeight="1" hidden="1">
      <c r="A122" s="40" t="s">
        <v>366</v>
      </c>
      <c r="B122" s="179" t="s">
        <v>55</v>
      </c>
      <c r="C122" s="151" t="s">
        <v>10</v>
      </c>
      <c r="D122" s="194" t="s">
        <v>49</v>
      </c>
      <c r="E122" s="179" t="s">
        <v>20</v>
      </c>
      <c r="F122" s="42">
        <f>MEMÓRIA!D92</f>
        <v>3.3132</v>
      </c>
      <c r="G122" s="43">
        <v>164.2</v>
      </c>
      <c r="H122" s="88">
        <f>G122*H12+G122</f>
        <v>201.09573999999998</v>
      </c>
      <c r="I122" s="44">
        <f t="shared" si="12"/>
        <v>666.2704057679999</v>
      </c>
      <c r="J122" s="232"/>
      <c r="K122" s="232"/>
      <c r="L122" s="232"/>
      <c r="M122" s="232"/>
    </row>
    <row r="123" spans="1:13" s="89" customFormat="1" ht="24" customHeight="1" hidden="1">
      <c r="A123" s="40" t="s">
        <v>361</v>
      </c>
      <c r="B123" s="179" t="s">
        <v>57</v>
      </c>
      <c r="C123" s="151" t="s">
        <v>10</v>
      </c>
      <c r="D123" s="194" t="s">
        <v>153</v>
      </c>
      <c r="E123" s="178" t="s">
        <v>14</v>
      </c>
      <c r="F123" s="42">
        <f>MEMÓRIA!D93</f>
        <v>331.32</v>
      </c>
      <c r="G123" s="43">
        <v>11.46</v>
      </c>
      <c r="H123" s="88">
        <f>G123*H12+G123</f>
        <v>14.035062000000002</v>
      </c>
      <c r="I123" s="44">
        <f t="shared" si="12"/>
        <v>4650.0967418400005</v>
      </c>
      <c r="J123" s="232"/>
      <c r="K123" s="232"/>
      <c r="L123" s="232"/>
      <c r="M123" s="232"/>
    </row>
    <row r="124" spans="1:13" s="89" customFormat="1" ht="24" customHeight="1" hidden="1">
      <c r="A124" s="181" t="s">
        <v>327</v>
      </c>
      <c r="B124" s="218"/>
      <c r="C124" s="218"/>
      <c r="D124" s="219" t="s">
        <v>154</v>
      </c>
      <c r="E124" s="220"/>
      <c r="F124" s="221"/>
      <c r="G124" s="222"/>
      <c r="H124" s="223"/>
      <c r="I124" s="224">
        <f>SUM(I125:I128)</f>
        <v>8304.964640896002</v>
      </c>
      <c r="J124" s="232"/>
      <c r="K124" s="232"/>
      <c r="L124" s="232"/>
      <c r="M124" s="232"/>
    </row>
    <row r="125" spans="1:13" s="89" customFormat="1" ht="24" customHeight="1" hidden="1">
      <c r="A125" s="40" t="s">
        <v>367</v>
      </c>
      <c r="B125" s="179" t="s">
        <v>56</v>
      </c>
      <c r="C125" s="151" t="s">
        <v>10</v>
      </c>
      <c r="D125" s="26" t="s">
        <v>50</v>
      </c>
      <c r="E125" s="179" t="s">
        <v>19</v>
      </c>
      <c r="F125" s="120">
        <f>MEMÓRIA!D95</f>
        <v>24.640000000000004</v>
      </c>
      <c r="G125" s="43">
        <v>98.55</v>
      </c>
      <c r="H125" s="88">
        <f>G125*H12+G125</f>
        <v>120.694185</v>
      </c>
      <c r="I125" s="44">
        <f aca="true" t="shared" si="13" ref="I125:I128">H125*F125</f>
        <v>2973.9047184000005</v>
      </c>
      <c r="J125" s="232"/>
      <c r="K125" s="232"/>
      <c r="L125" s="232"/>
      <c r="M125" s="232"/>
    </row>
    <row r="126" spans="1:13" s="89" customFormat="1" ht="24" customHeight="1" hidden="1">
      <c r="A126" s="40" t="s">
        <v>368</v>
      </c>
      <c r="B126" s="179" t="s">
        <v>54</v>
      </c>
      <c r="C126" s="151" t="s">
        <v>10</v>
      </c>
      <c r="D126" s="26" t="s">
        <v>152</v>
      </c>
      <c r="E126" s="179" t="s">
        <v>20</v>
      </c>
      <c r="F126" s="120">
        <f>MEMÓRIA!D96</f>
        <v>2.4640000000000004</v>
      </c>
      <c r="G126" s="43">
        <v>456.42</v>
      </c>
      <c r="H126" s="88">
        <f>G126*H12+G126</f>
        <v>558.977574</v>
      </c>
      <c r="I126" s="44">
        <f t="shared" si="13"/>
        <v>1377.3207423360002</v>
      </c>
      <c r="J126" s="232"/>
      <c r="K126" s="232"/>
      <c r="L126" s="232"/>
      <c r="M126" s="232"/>
    </row>
    <row r="127" spans="1:13" s="89" customFormat="1" ht="24" customHeight="1" hidden="1">
      <c r="A127" s="40" t="s">
        <v>369</v>
      </c>
      <c r="B127" s="179" t="s">
        <v>55</v>
      </c>
      <c r="C127" s="151" t="s">
        <v>10</v>
      </c>
      <c r="D127" s="26" t="s">
        <v>49</v>
      </c>
      <c r="E127" s="179" t="s">
        <v>20</v>
      </c>
      <c r="F127" s="120">
        <f>MEMÓRIA!D97</f>
        <v>2.4640000000000004</v>
      </c>
      <c r="G127" s="43">
        <v>164.2</v>
      </c>
      <c r="H127" s="88">
        <f>G127*H12+G127</f>
        <v>201.09573999999998</v>
      </c>
      <c r="I127" s="44">
        <f t="shared" si="13"/>
        <v>495.49990336</v>
      </c>
      <c r="J127" s="232"/>
      <c r="K127" s="232"/>
      <c r="L127" s="232"/>
      <c r="M127" s="232"/>
    </row>
    <row r="128" spans="1:13" s="89" customFormat="1" ht="24" customHeight="1" hidden="1">
      <c r="A128" s="40" t="s">
        <v>370</v>
      </c>
      <c r="B128" s="179" t="s">
        <v>57</v>
      </c>
      <c r="C128" s="151" t="s">
        <v>10</v>
      </c>
      <c r="D128" s="26" t="s">
        <v>153</v>
      </c>
      <c r="E128" s="178" t="s">
        <v>14</v>
      </c>
      <c r="F128" s="139">
        <f>MEMÓRIA!D98</f>
        <v>246.40000000000003</v>
      </c>
      <c r="G128" s="43">
        <v>11.46</v>
      </c>
      <c r="H128" s="88">
        <f>G128*H12+G128</f>
        <v>14.035062000000002</v>
      </c>
      <c r="I128" s="44">
        <f t="shared" si="13"/>
        <v>3458.239276800001</v>
      </c>
      <c r="J128" s="232"/>
      <c r="K128" s="232"/>
      <c r="L128" s="232"/>
      <c r="M128" s="232"/>
    </row>
    <row r="129" spans="1:13" s="89" customFormat="1" ht="24" customHeight="1" hidden="1">
      <c r="A129" s="181" t="s">
        <v>328</v>
      </c>
      <c r="B129" s="218"/>
      <c r="C129" s="218"/>
      <c r="D129" s="219" t="s">
        <v>329</v>
      </c>
      <c r="E129" s="220"/>
      <c r="F129" s="221"/>
      <c r="G129" s="222"/>
      <c r="H129" s="223"/>
      <c r="I129" s="224">
        <f>SUM(I130:I133)</f>
        <v>32562.661421248005</v>
      </c>
      <c r="J129" s="232"/>
      <c r="K129" s="232"/>
      <c r="L129" s="232"/>
      <c r="M129" s="232"/>
    </row>
    <row r="130" spans="1:13" s="89" customFormat="1" ht="29.25" customHeight="1" hidden="1">
      <c r="A130" s="40" t="s">
        <v>371</v>
      </c>
      <c r="B130" s="179" t="s">
        <v>165</v>
      </c>
      <c r="C130" s="151" t="s">
        <v>10</v>
      </c>
      <c r="D130" s="194" t="s">
        <v>166</v>
      </c>
      <c r="E130" s="179" t="s">
        <v>19</v>
      </c>
      <c r="F130" s="120">
        <f>MEMÓRIA!D100</f>
        <v>121.48400000000001</v>
      </c>
      <c r="G130" s="43">
        <v>92.26</v>
      </c>
      <c r="H130" s="88">
        <f>G130*H12+G130</f>
        <v>112.99082200000001</v>
      </c>
      <c r="I130" s="44">
        <f t="shared" si="12"/>
        <v>13726.577019848002</v>
      </c>
      <c r="J130" s="232"/>
      <c r="K130" s="232"/>
      <c r="L130" s="232"/>
      <c r="M130" s="232"/>
    </row>
    <row r="131" spans="1:13" s="89" customFormat="1" ht="24" customHeight="1" hidden="1">
      <c r="A131" s="40" t="s">
        <v>372</v>
      </c>
      <c r="B131" s="179" t="s">
        <v>28</v>
      </c>
      <c r="C131" s="151" t="s">
        <v>10</v>
      </c>
      <c r="D131" s="26" t="s">
        <v>26</v>
      </c>
      <c r="E131" s="179" t="s">
        <v>19</v>
      </c>
      <c r="F131" s="120">
        <f>MEMÓRIA!D101</f>
        <v>309.46000000000004</v>
      </c>
      <c r="G131" s="43">
        <v>6.93</v>
      </c>
      <c r="H131" s="88">
        <f>G131*H12+G131</f>
        <v>8.487171</v>
      </c>
      <c r="I131" s="44">
        <f t="shared" si="12"/>
        <v>2626.4399376600004</v>
      </c>
      <c r="J131" s="232"/>
      <c r="K131" s="232"/>
      <c r="L131" s="232"/>
      <c r="M131" s="232"/>
    </row>
    <row r="132" spans="1:13" s="89" customFormat="1" ht="24" customHeight="1" hidden="1">
      <c r="A132" s="40" t="s">
        <v>373</v>
      </c>
      <c r="B132" s="179" t="s">
        <v>29</v>
      </c>
      <c r="C132" s="151" t="s">
        <v>10</v>
      </c>
      <c r="D132" s="26" t="s">
        <v>27</v>
      </c>
      <c r="E132" s="179" t="s">
        <v>19</v>
      </c>
      <c r="F132" s="120">
        <f>MEMÓRIA!D102</f>
        <v>309.46000000000004</v>
      </c>
      <c r="G132" s="43">
        <v>12.83</v>
      </c>
      <c r="H132" s="88">
        <f>G132*H12+G132</f>
        <v>15.712901</v>
      </c>
      <c r="I132" s="44">
        <f t="shared" si="12"/>
        <v>4862.51434346</v>
      </c>
      <c r="J132" s="232"/>
      <c r="K132" s="232"/>
      <c r="L132" s="232"/>
      <c r="M132" s="232"/>
    </row>
    <row r="133" spans="1:13" s="89" customFormat="1" ht="0.75" customHeight="1">
      <c r="A133" s="40" t="s">
        <v>374</v>
      </c>
      <c r="B133" s="154" t="s">
        <v>58</v>
      </c>
      <c r="C133" s="152" t="s">
        <v>10</v>
      </c>
      <c r="D133" s="25" t="s">
        <v>96</v>
      </c>
      <c r="E133" s="157" t="s">
        <v>19</v>
      </c>
      <c r="F133" s="120">
        <f>F132</f>
        <v>309.46000000000004</v>
      </c>
      <c r="G133" s="43">
        <v>29.94</v>
      </c>
      <c r="H133" s="88">
        <f>G133*H12+G133</f>
        <v>36.667518</v>
      </c>
      <c r="I133" s="44">
        <f>H133*F133</f>
        <v>11347.130120280002</v>
      </c>
      <c r="J133" s="232"/>
      <c r="K133" s="232"/>
      <c r="L133" s="232"/>
      <c r="M133" s="232"/>
    </row>
    <row r="134" spans="1:13" s="89" customFormat="1" ht="33.75" customHeight="1">
      <c r="A134" s="181" t="s">
        <v>333</v>
      </c>
      <c r="B134" s="218"/>
      <c r="C134" s="218"/>
      <c r="D134" s="219" t="s">
        <v>334</v>
      </c>
      <c r="E134" s="220"/>
      <c r="F134" s="221"/>
      <c r="G134" s="222"/>
      <c r="H134" s="223"/>
      <c r="I134" s="224">
        <f>I135+I144+I149</f>
        <v>19157.51450954</v>
      </c>
      <c r="J134" s="232"/>
      <c r="K134" s="233">
        <f>I134</f>
        <v>19157.51450954</v>
      </c>
      <c r="L134" s="232"/>
      <c r="M134" s="232"/>
    </row>
    <row r="135" spans="1:9" s="89" customFormat="1" ht="24" customHeight="1" hidden="1">
      <c r="A135" s="69" t="s">
        <v>335</v>
      </c>
      <c r="B135" s="70"/>
      <c r="C135" s="70"/>
      <c r="D135" s="71" t="s">
        <v>45</v>
      </c>
      <c r="E135" s="72"/>
      <c r="F135" s="73"/>
      <c r="G135" s="74"/>
      <c r="H135" s="75"/>
      <c r="I135" s="76">
        <f>SUM(I136:I143)</f>
        <v>6338.1519443</v>
      </c>
    </row>
    <row r="136" spans="1:9" s="89" customFormat="1" ht="24" customHeight="1" hidden="1">
      <c r="A136" s="6" t="s">
        <v>375</v>
      </c>
      <c r="B136" s="148" t="s">
        <v>149</v>
      </c>
      <c r="C136" s="148" t="s">
        <v>10</v>
      </c>
      <c r="D136" s="8" t="s">
        <v>150</v>
      </c>
      <c r="E136" s="148" t="s">
        <v>11</v>
      </c>
      <c r="F136" s="42">
        <f>MEMÓRIA!D105</f>
        <v>22</v>
      </c>
      <c r="G136" s="43">
        <v>63.48</v>
      </c>
      <c r="H136" s="88">
        <f>G136*H12+G136</f>
        <v>77.743956</v>
      </c>
      <c r="I136" s="44">
        <f aca="true" t="shared" si="14" ref="I136:I143">H136*F136</f>
        <v>1710.3670319999999</v>
      </c>
    </row>
    <row r="137" spans="1:9" s="89" customFormat="1" ht="24" customHeight="1" hidden="1">
      <c r="A137" s="6" t="s">
        <v>376</v>
      </c>
      <c r="B137" s="148" t="s">
        <v>52</v>
      </c>
      <c r="C137" s="148" t="s">
        <v>10</v>
      </c>
      <c r="D137" s="8" t="s">
        <v>46</v>
      </c>
      <c r="E137" s="148" t="s">
        <v>20</v>
      </c>
      <c r="F137" s="42">
        <f>MEMÓRIA!D106</f>
        <v>1.32</v>
      </c>
      <c r="G137" s="43">
        <v>58.41</v>
      </c>
      <c r="H137" s="88">
        <f>G137*H12+G137</f>
        <v>71.534727</v>
      </c>
      <c r="I137" s="44">
        <f t="shared" si="14"/>
        <v>94.42583964</v>
      </c>
    </row>
    <row r="138" spans="1:9" s="89" customFormat="1" ht="24" customHeight="1" hidden="1">
      <c r="A138" s="6" t="s">
        <v>377</v>
      </c>
      <c r="B138" s="148">
        <v>101616</v>
      </c>
      <c r="C138" s="148" t="s">
        <v>95</v>
      </c>
      <c r="D138" s="8" t="s">
        <v>151</v>
      </c>
      <c r="E138" s="148" t="s">
        <v>19</v>
      </c>
      <c r="F138" s="42">
        <f>MEMÓRIA!D107</f>
        <v>4.4</v>
      </c>
      <c r="G138" s="43">
        <v>7.07</v>
      </c>
      <c r="H138" s="88">
        <f>G138*H12+G138</f>
        <v>8.658629000000001</v>
      </c>
      <c r="I138" s="44">
        <f t="shared" si="14"/>
        <v>38.09796760000001</v>
      </c>
    </row>
    <row r="139" spans="1:9" s="89" customFormat="1" ht="24" customHeight="1" hidden="1">
      <c r="A139" s="6" t="s">
        <v>378</v>
      </c>
      <c r="B139" s="175" t="s">
        <v>53</v>
      </c>
      <c r="C139" s="148" t="s">
        <v>10</v>
      </c>
      <c r="D139" s="8" t="s">
        <v>47</v>
      </c>
      <c r="E139" s="148" t="s">
        <v>20</v>
      </c>
      <c r="F139" s="42">
        <f>MEMÓRIA!D108</f>
        <v>0.22000000000000003</v>
      </c>
      <c r="G139" s="43">
        <v>171.37</v>
      </c>
      <c r="H139" s="88">
        <f>G139*H12+G139</f>
        <v>209.87683900000002</v>
      </c>
      <c r="I139" s="44">
        <f t="shared" si="14"/>
        <v>46.17290458000001</v>
      </c>
    </row>
    <row r="140" spans="1:9" s="89" customFormat="1" ht="24" customHeight="1" hidden="1">
      <c r="A140" s="6" t="s">
        <v>380</v>
      </c>
      <c r="B140" s="148" t="s">
        <v>56</v>
      </c>
      <c r="C140" s="148" t="s">
        <v>10</v>
      </c>
      <c r="D140" s="8" t="s">
        <v>50</v>
      </c>
      <c r="E140" s="148" t="s">
        <v>19</v>
      </c>
      <c r="F140" s="42">
        <f>MEMÓRIA!D109</f>
        <v>13.2</v>
      </c>
      <c r="G140" s="43">
        <v>98.55</v>
      </c>
      <c r="H140" s="88">
        <f>G140*H12+G140</f>
        <v>120.694185</v>
      </c>
      <c r="I140" s="44">
        <f t="shared" si="14"/>
        <v>1593.163242</v>
      </c>
    </row>
    <row r="141" spans="1:9" s="89" customFormat="1" ht="24" customHeight="1" hidden="1">
      <c r="A141" s="6" t="s">
        <v>381</v>
      </c>
      <c r="B141" s="148" t="s">
        <v>54</v>
      </c>
      <c r="C141" s="148" t="s">
        <v>10</v>
      </c>
      <c r="D141" s="8" t="s">
        <v>152</v>
      </c>
      <c r="E141" s="148" t="s">
        <v>20</v>
      </c>
      <c r="F141" s="42">
        <f>MEMÓRIA!D110</f>
        <v>1.32</v>
      </c>
      <c r="G141" s="43">
        <v>456.42</v>
      </c>
      <c r="H141" s="88">
        <f>G141*H12+G141</f>
        <v>558.977574</v>
      </c>
      <c r="I141" s="44">
        <f t="shared" si="14"/>
        <v>737.85039768</v>
      </c>
    </row>
    <row r="142" spans="1:9" s="89" customFormat="1" ht="28.5" customHeight="1" hidden="1">
      <c r="A142" s="6" t="s">
        <v>379</v>
      </c>
      <c r="B142" s="148" t="s">
        <v>55</v>
      </c>
      <c r="C142" s="148" t="s">
        <v>10</v>
      </c>
      <c r="D142" s="8" t="s">
        <v>49</v>
      </c>
      <c r="E142" s="148" t="s">
        <v>20</v>
      </c>
      <c r="F142" s="42">
        <f>MEMÓRIA!D111</f>
        <v>1.32</v>
      </c>
      <c r="G142" s="43">
        <v>164.2</v>
      </c>
      <c r="H142" s="88">
        <f>G142*H12+G142</f>
        <v>201.09573999999998</v>
      </c>
      <c r="I142" s="44">
        <f t="shared" si="14"/>
        <v>265.4463768</v>
      </c>
    </row>
    <row r="143" spans="1:9" s="89" customFormat="1" ht="24" customHeight="1" hidden="1">
      <c r="A143" s="6" t="s">
        <v>382</v>
      </c>
      <c r="B143" s="148" t="s">
        <v>57</v>
      </c>
      <c r="C143" s="148" t="s">
        <v>10</v>
      </c>
      <c r="D143" s="8" t="s">
        <v>153</v>
      </c>
      <c r="E143" s="128" t="s">
        <v>14</v>
      </c>
      <c r="F143" s="42">
        <f>MEMÓRIA!D112</f>
        <v>132</v>
      </c>
      <c r="G143" s="43">
        <v>11.46</v>
      </c>
      <c r="H143" s="88">
        <f>G143*H12+G143</f>
        <v>14.035062000000002</v>
      </c>
      <c r="I143" s="44">
        <f t="shared" si="14"/>
        <v>1852.6281840000001</v>
      </c>
    </row>
    <row r="144" spans="1:9" s="89" customFormat="1" ht="24" customHeight="1" hidden="1">
      <c r="A144" s="69" t="s">
        <v>336</v>
      </c>
      <c r="B144" s="70"/>
      <c r="C144" s="70"/>
      <c r="D144" s="71" t="s">
        <v>154</v>
      </c>
      <c r="E144" s="72"/>
      <c r="F144" s="73"/>
      <c r="G144" s="74"/>
      <c r="H144" s="75"/>
      <c r="I144" s="76">
        <f>SUM(I145:I148)</f>
        <v>2224.5441002400003</v>
      </c>
    </row>
    <row r="145" spans="1:9" s="89" customFormat="1" ht="24" customHeight="1" hidden="1">
      <c r="A145" s="137" t="s">
        <v>383</v>
      </c>
      <c r="B145" s="148" t="s">
        <v>56</v>
      </c>
      <c r="C145" s="148" t="s">
        <v>10</v>
      </c>
      <c r="D145" s="7" t="s">
        <v>50</v>
      </c>
      <c r="E145" s="148" t="s">
        <v>19</v>
      </c>
      <c r="F145" s="130">
        <f>MEMÓRIA!D114</f>
        <v>6.600000000000001</v>
      </c>
      <c r="G145" s="43">
        <v>98.55</v>
      </c>
      <c r="H145" s="88">
        <f>G145*H12+G145</f>
        <v>120.694185</v>
      </c>
      <c r="I145" s="44">
        <f aca="true" t="shared" si="15" ref="I145:I148">H145*F145</f>
        <v>796.5816210000002</v>
      </c>
    </row>
    <row r="146" spans="1:9" s="89" customFormat="1" ht="24" customHeight="1" hidden="1">
      <c r="A146" s="137" t="s">
        <v>384</v>
      </c>
      <c r="B146" s="148" t="s">
        <v>54</v>
      </c>
      <c r="C146" s="148" t="s">
        <v>10</v>
      </c>
      <c r="D146" s="7" t="s">
        <v>152</v>
      </c>
      <c r="E146" s="148" t="s">
        <v>20</v>
      </c>
      <c r="F146" s="130">
        <f>MEMÓRIA!D115</f>
        <v>0.6600000000000001</v>
      </c>
      <c r="G146" s="43">
        <v>456.42</v>
      </c>
      <c r="H146" s="88">
        <f>G146*H12+G146</f>
        <v>558.977574</v>
      </c>
      <c r="I146" s="44">
        <f t="shared" si="15"/>
        <v>368.92519884000006</v>
      </c>
    </row>
    <row r="147" spans="1:9" s="89" customFormat="1" ht="24" customHeight="1" hidden="1">
      <c r="A147" s="137" t="s">
        <v>385</v>
      </c>
      <c r="B147" s="148" t="s">
        <v>55</v>
      </c>
      <c r="C147" s="148" t="s">
        <v>10</v>
      </c>
      <c r="D147" s="7" t="s">
        <v>49</v>
      </c>
      <c r="E147" s="148" t="s">
        <v>20</v>
      </c>
      <c r="F147" s="130">
        <f>MEMÓRIA!D116</f>
        <v>0.6600000000000001</v>
      </c>
      <c r="G147" s="43">
        <v>164.2</v>
      </c>
      <c r="H147" s="88">
        <f>G147*H12+G147</f>
        <v>201.09573999999998</v>
      </c>
      <c r="I147" s="44">
        <f t="shared" si="15"/>
        <v>132.72318840000003</v>
      </c>
    </row>
    <row r="148" spans="1:9" s="89" customFormat="1" ht="24" customHeight="1" hidden="1">
      <c r="A148" s="137" t="s">
        <v>386</v>
      </c>
      <c r="B148" s="148" t="s">
        <v>57</v>
      </c>
      <c r="C148" s="148" t="s">
        <v>10</v>
      </c>
      <c r="D148" s="7" t="s">
        <v>153</v>
      </c>
      <c r="E148" s="128" t="s">
        <v>14</v>
      </c>
      <c r="F148" s="134">
        <f>MEMÓRIA!D117</f>
        <v>66.00000000000001</v>
      </c>
      <c r="G148" s="43">
        <v>11.46</v>
      </c>
      <c r="H148" s="88">
        <f>G148*H12+G148</f>
        <v>14.035062000000002</v>
      </c>
      <c r="I148" s="44">
        <f t="shared" si="15"/>
        <v>926.3140920000003</v>
      </c>
    </row>
    <row r="149" spans="1:9" s="89" customFormat="1" ht="24" customHeight="1" hidden="1">
      <c r="A149" s="69" t="s">
        <v>337</v>
      </c>
      <c r="B149" s="70"/>
      <c r="C149" s="70"/>
      <c r="D149" s="71" t="s">
        <v>164</v>
      </c>
      <c r="E149" s="72"/>
      <c r="F149" s="73"/>
      <c r="G149" s="74"/>
      <c r="H149" s="75"/>
      <c r="I149" s="76">
        <f>SUM(I150:I153)</f>
        <v>10594.818464999998</v>
      </c>
    </row>
    <row r="150" spans="1:9" s="89" customFormat="1" ht="18.75" customHeight="1" hidden="1">
      <c r="A150" s="6" t="s">
        <v>387</v>
      </c>
      <c r="B150" s="148" t="s">
        <v>349</v>
      </c>
      <c r="C150" s="148" t="s">
        <v>10</v>
      </c>
      <c r="D150" t="s">
        <v>348</v>
      </c>
      <c r="E150" s="148" t="s">
        <v>19</v>
      </c>
      <c r="F150" s="130">
        <f>MEMÓRIA!D119</f>
        <v>33</v>
      </c>
      <c r="G150" s="43">
        <v>212.45</v>
      </c>
      <c r="H150" s="88">
        <f>G150*H12+G150</f>
        <v>260.18751499999996</v>
      </c>
      <c r="I150" s="44">
        <f aca="true" t="shared" si="16" ref="I150:I152">H150*F150</f>
        <v>8586.187994999998</v>
      </c>
    </row>
    <row r="151" spans="1:9" s="89" customFormat="1" ht="24" customHeight="1" hidden="1">
      <c r="A151" s="6" t="s">
        <v>388</v>
      </c>
      <c r="B151" s="148" t="s">
        <v>28</v>
      </c>
      <c r="C151" s="148" t="s">
        <v>10</v>
      </c>
      <c r="D151" s="7" t="s">
        <v>26</v>
      </c>
      <c r="E151" s="148" t="s">
        <v>19</v>
      </c>
      <c r="F151" s="130">
        <f>MEMÓRIA!D120</f>
        <v>33</v>
      </c>
      <c r="G151" s="43">
        <v>6.93</v>
      </c>
      <c r="H151" s="88">
        <f>G151*H12+G151</f>
        <v>8.487171</v>
      </c>
      <c r="I151" s="44">
        <f t="shared" si="16"/>
        <v>280.076643</v>
      </c>
    </row>
    <row r="152" spans="1:9" s="89" customFormat="1" ht="24" customHeight="1" hidden="1">
      <c r="A152" s="6" t="s">
        <v>389</v>
      </c>
      <c r="B152" s="148" t="s">
        <v>29</v>
      </c>
      <c r="C152" s="148" t="s">
        <v>10</v>
      </c>
      <c r="D152" s="7" t="s">
        <v>27</v>
      </c>
      <c r="E152" s="148" t="s">
        <v>19</v>
      </c>
      <c r="F152" s="130">
        <f>MEMÓRIA!D121</f>
        <v>33</v>
      </c>
      <c r="G152" s="43">
        <v>12.83</v>
      </c>
      <c r="H152" s="88">
        <f>G152*H12+G152</f>
        <v>15.712901</v>
      </c>
      <c r="I152" s="44">
        <f t="shared" si="16"/>
        <v>518.5257330000001</v>
      </c>
    </row>
    <row r="153" spans="1:9" s="89" customFormat="1" ht="11.25" customHeight="1" hidden="1">
      <c r="A153" s="144" t="s">
        <v>390</v>
      </c>
      <c r="B153" s="24" t="s">
        <v>58</v>
      </c>
      <c r="C153" s="29" t="s">
        <v>10</v>
      </c>
      <c r="D153" s="25" t="s">
        <v>96</v>
      </c>
      <c r="E153" s="130" t="s">
        <v>19</v>
      </c>
      <c r="F153" s="130">
        <f>F152</f>
        <v>33</v>
      </c>
      <c r="G153" s="43">
        <v>29.94</v>
      </c>
      <c r="H153" s="88">
        <f>G153*H12+G153</f>
        <v>36.667518</v>
      </c>
      <c r="I153" s="44">
        <f>H153*F153</f>
        <v>1210.028094</v>
      </c>
    </row>
    <row r="154" spans="1:15" ht="29.25" customHeight="1">
      <c r="A154" s="31"/>
      <c r="B154" s="32"/>
      <c r="C154" s="32"/>
      <c r="D154" s="230" t="s">
        <v>392</v>
      </c>
      <c r="E154" s="241" t="s">
        <v>59</v>
      </c>
      <c r="F154" s="241"/>
      <c r="G154" s="241"/>
      <c r="H154" s="241"/>
      <c r="I154" s="34">
        <f>I114+I105+I97+I57+I55+I49+I35+I29+I16+I134</f>
        <v>501711.4491979244</v>
      </c>
      <c r="J154" s="235">
        <f>SUM(J16:J134)</f>
        <v>132908.20011023083</v>
      </c>
      <c r="K154" s="235">
        <f>SUM(K16:K134)</f>
        <v>133236.67039815616</v>
      </c>
      <c r="L154" s="235">
        <f>SUM(L16:L134)</f>
        <v>111640.71366250873</v>
      </c>
      <c r="M154" s="235">
        <f>SUM(M16:M134)</f>
        <v>123925.86502702872</v>
      </c>
      <c r="O154" s="236"/>
    </row>
    <row r="156" spans="5:14" ht="15">
      <c r="E156" s="237"/>
      <c r="F156" s="237"/>
      <c r="G156" s="237"/>
      <c r="H156" s="237"/>
      <c r="I156" s="237"/>
      <c r="J156" s="237" t="s">
        <v>391</v>
      </c>
      <c r="K156" s="237"/>
      <c r="L156" s="237"/>
      <c r="M156" s="237"/>
      <c r="N156" s="16"/>
    </row>
    <row r="157" spans="5:14" ht="15">
      <c r="E157" s="175"/>
      <c r="G157" s="175"/>
      <c r="H157" s="175"/>
      <c r="I157" s="175"/>
      <c r="J157" s="175"/>
      <c r="K157" s="175"/>
      <c r="L157" s="175"/>
      <c r="M157" s="175"/>
      <c r="N157" s="175"/>
    </row>
    <row r="158" spans="10:14" ht="15">
      <c r="J158" s="16"/>
      <c r="K158" s="175"/>
      <c r="L158" s="16"/>
      <c r="M158" s="16"/>
      <c r="N158" s="16"/>
    </row>
    <row r="159" spans="5:14" ht="15">
      <c r="E159" s="237"/>
      <c r="F159" s="237"/>
      <c r="G159" s="237"/>
      <c r="H159" s="237"/>
      <c r="I159" s="237"/>
      <c r="J159" s="237" t="s">
        <v>60</v>
      </c>
      <c r="K159" s="237"/>
      <c r="L159" s="237"/>
      <c r="M159" s="237"/>
      <c r="N159" s="16"/>
    </row>
    <row r="160" spans="5:14" ht="15">
      <c r="E160" s="237"/>
      <c r="F160" s="237"/>
      <c r="G160" s="237"/>
      <c r="H160" s="237"/>
      <c r="I160" s="237"/>
      <c r="J160" s="237" t="s">
        <v>61</v>
      </c>
      <c r="K160" s="237"/>
      <c r="L160" s="237"/>
      <c r="M160" s="237"/>
      <c r="N160" s="16"/>
    </row>
    <row r="161" spans="5:14" ht="15">
      <c r="E161" s="237"/>
      <c r="F161" s="237"/>
      <c r="G161" s="237"/>
      <c r="H161" s="237"/>
      <c r="I161" s="237"/>
      <c r="J161" s="237" t="s">
        <v>62</v>
      </c>
      <c r="K161" s="237"/>
      <c r="L161" s="237"/>
      <c r="M161" s="237"/>
      <c r="N161" s="16"/>
    </row>
    <row r="162" spans="5:9" ht="15">
      <c r="E162" s="237"/>
      <c r="F162" s="237"/>
      <c r="G162" s="237"/>
      <c r="H162" s="237"/>
      <c r="I162" s="237"/>
    </row>
  </sheetData>
  <mergeCells count="13">
    <mergeCell ref="E162:I162"/>
    <mergeCell ref="J156:M156"/>
    <mergeCell ref="G5:G7"/>
    <mergeCell ref="A8:I8"/>
    <mergeCell ref="G9:G11"/>
    <mergeCell ref="E154:H154"/>
    <mergeCell ref="E156:I156"/>
    <mergeCell ref="E159:I159"/>
    <mergeCell ref="J159:M159"/>
    <mergeCell ref="J160:M160"/>
    <mergeCell ref="J161:M161"/>
    <mergeCell ref="E160:I160"/>
    <mergeCell ref="E161:I161"/>
  </mergeCells>
  <conditionalFormatting sqref="A16:I16 A18:A19 I45:I48 F45:F48 E18:I19 C18:C19 E21:I21 C21 F43 I43 C30:C32 E37:F39 I37:I41 F40:F41 A57 I57 E57:G57 A90:A91 F90:G91 A36:A48 A93:A96 E93:G96 I93:I96 A21:A32 I22:I28 E22:G28 G98:G104 A98:A104 I98:I104 F53:G54 A53:A54 I53:I54 A106:A113 G106:G113 I106:I113 A124:A128 A130:A132">
    <cfRule type="expression" priority="179" dxfId="1">
      <formula>IF($L16="I",TRUE,FALSE)</formula>
    </cfRule>
    <cfRule type="expression" priority="180" dxfId="0">
      <formula>IF($L16="T",TRUE,FALSE)</formula>
    </cfRule>
  </conditionalFormatting>
  <conditionalFormatting sqref="C16 C18:C19 C21 C30:C32">
    <cfRule type="expression" priority="178" dxfId="197">
      <formula>IF($L16="I",TRUE,FALSE)</formula>
    </cfRule>
  </conditionalFormatting>
  <conditionalFormatting sqref="A35 I35 E35:G35">
    <cfRule type="expression" priority="176" dxfId="1">
      <formula>IF($L35="I",TRUE,FALSE)</formula>
    </cfRule>
    <cfRule type="expression" priority="177" dxfId="0">
      <formula>IF($L35="T",TRUE,FALSE)</formula>
    </cfRule>
  </conditionalFormatting>
  <conditionalFormatting sqref="A49 I49 E49:G49">
    <cfRule type="expression" priority="174" dxfId="1">
      <formula>IF($L49="I",TRUE,FALSE)</formula>
    </cfRule>
    <cfRule type="expression" priority="175" dxfId="0">
      <formula>IF($L49="T",TRUE,FALSE)</formula>
    </cfRule>
  </conditionalFormatting>
  <conditionalFormatting sqref="A55:A56 I55:I56 E55:G55 F56:G56 F60:G68 A60:A68 A70:A73 F70:G73 F75:G79 A75:A79 A81:A83 F81:G83 F86:G88 A86:A88 I60:I68 I70:I73 I75:I79 I81:I83 I86:I88">
    <cfRule type="expression" priority="172" dxfId="1">
      <formula>IF($L55="I",TRUE,FALSE)</formula>
    </cfRule>
    <cfRule type="expression" priority="173" dxfId="0">
      <formula>IF($L55="T",TRUE,FALSE)</formula>
    </cfRule>
  </conditionalFormatting>
  <conditionalFormatting sqref="I17 E17:G17 A17">
    <cfRule type="expression" priority="170" dxfId="1">
      <formula>IF($L17="I",TRUE,FALSE)</formula>
    </cfRule>
    <cfRule type="expression" priority="171" dxfId="0">
      <formula>IF($L17="T",TRUE,FALSE)</formula>
    </cfRule>
  </conditionalFormatting>
  <conditionalFormatting sqref="I20 E20:G20 A20">
    <cfRule type="expression" priority="168" dxfId="1">
      <formula>IF($L20="I",TRUE,FALSE)</formula>
    </cfRule>
    <cfRule type="expression" priority="169" dxfId="0">
      <formula>IF($L20="T",TRUE,FALSE)</formula>
    </cfRule>
  </conditionalFormatting>
  <conditionalFormatting sqref="E29:G29 I29">
    <cfRule type="expression" priority="166" dxfId="1">
      <formula>IF($L29="I",TRUE,FALSE)</formula>
    </cfRule>
    <cfRule type="expression" priority="167" dxfId="0">
      <formula>IF($L29="T",TRUE,FALSE)</formula>
    </cfRule>
  </conditionalFormatting>
  <conditionalFormatting sqref="F44 I44">
    <cfRule type="expression" priority="164" dxfId="1">
      <formula>IF($L44="I",TRUE,FALSE)</formula>
    </cfRule>
    <cfRule type="expression" priority="165" dxfId="0">
      <formula>IF($L44="T",TRUE,FALSE)</formula>
    </cfRule>
  </conditionalFormatting>
  <conditionalFormatting sqref="E50:G50 I50:I52 A50:A52 F51:G52">
    <cfRule type="expression" priority="162" dxfId="1">
      <formula>IF($L50="I",TRUE,FALSE)</formula>
    </cfRule>
    <cfRule type="expression" priority="163" dxfId="0">
      <formula>IF($L50="T",TRUE,FALSE)</formula>
    </cfRule>
  </conditionalFormatting>
  <conditionalFormatting sqref="E56 E60:E68">
    <cfRule type="expression" priority="160" dxfId="1">
      <formula>IF($L56="I",TRUE,FALSE)</formula>
    </cfRule>
    <cfRule type="expression" priority="161" dxfId="0">
      <formula>IF($L56="T",TRUE,FALSE)</formula>
    </cfRule>
  </conditionalFormatting>
  <conditionalFormatting sqref="E51:E54">
    <cfRule type="expression" priority="158" dxfId="1">
      <formula>IF($L51="I",TRUE,FALSE)</formula>
    </cfRule>
    <cfRule type="expression" priority="159" dxfId="0">
      <formula>IF($L51="T",TRUE,FALSE)</formula>
    </cfRule>
  </conditionalFormatting>
  <conditionalFormatting sqref="A56 A60:A68 A70:A73 A75:A79 A81:A83 A86:A88 A90:A91">
    <cfRule type="expression" priority="181" dxfId="1">
      <formula>IF(#REF!="I",TRUE,FALSE)</formula>
    </cfRule>
    <cfRule type="expression" priority="182" dxfId="0">
      <formula>IF(#REF!="T",TRUE,FALSE)</formula>
    </cfRule>
  </conditionalFormatting>
  <conditionalFormatting sqref="E43:E45">
    <cfRule type="expression" priority="156" dxfId="1">
      <formula>IF($L43="I",TRUE,FALSE)</formula>
    </cfRule>
    <cfRule type="expression" priority="157" dxfId="0">
      <formula>IF($L43="T",TRUE,FALSE)</formula>
    </cfRule>
  </conditionalFormatting>
  <conditionalFormatting sqref="B40:D40">
    <cfRule type="expression" priority="154" dxfId="1">
      <formula>IF($L40="I",TRUE,FALSE)</formula>
    </cfRule>
    <cfRule type="expression" priority="155" dxfId="0">
      <formula>IF($L40="T",TRUE,FALSE)</formula>
    </cfRule>
  </conditionalFormatting>
  <conditionalFormatting sqref="C40">
    <cfRule type="expression" priority="153" dxfId="197">
      <formula>IF($L40="I",TRUE,FALSE)</formula>
    </cfRule>
  </conditionalFormatting>
  <conditionalFormatting sqref="B41:D41">
    <cfRule type="expression" priority="151" dxfId="1">
      <formula>IF($L41="I",TRUE,FALSE)</formula>
    </cfRule>
    <cfRule type="expression" priority="152" dxfId="0">
      <formula>IF($L41="T",TRUE,FALSE)</formula>
    </cfRule>
  </conditionalFormatting>
  <conditionalFormatting sqref="C41">
    <cfRule type="expression" priority="150" dxfId="197">
      <formula>IF($L41="I",TRUE,FALSE)</formula>
    </cfRule>
  </conditionalFormatting>
  <conditionalFormatting sqref="C43:C46">
    <cfRule type="expression" priority="148" dxfId="1">
      <formula>IF($L43="I",TRUE,FALSE)</formula>
    </cfRule>
    <cfRule type="expression" priority="149" dxfId="0">
      <formula>IF($L43="T",TRUE,FALSE)</formula>
    </cfRule>
  </conditionalFormatting>
  <conditionalFormatting sqref="C43:C46">
    <cfRule type="expression" priority="147" dxfId="197">
      <formula>IF($L43="I",TRUE,FALSE)</formula>
    </cfRule>
  </conditionalFormatting>
  <conditionalFormatting sqref="G43:G45">
    <cfRule type="expression" priority="145" dxfId="1">
      <formula>IF($L43="I",TRUE,FALSE)</formula>
    </cfRule>
    <cfRule type="expression" priority="146" dxfId="0">
      <formula>IF($L43="T",TRUE,FALSE)</formula>
    </cfRule>
  </conditionalFormatting>
  <conditionalFormatting sqref="C42">
    <cfRule type="expression" priority="143" dxfId="1">
      <formula>IF($L42="I",TRUE,FALSE)</formula>
    </cfRule>
    <cfRule type="expression" priority="144" dxfId="0">
      <formula>IF($L42="T",TRUE,FALSE)</formula>
    </cfRule>
  </conditionalFormatting>
  <conditionalFormatting sqref="C42">
    <cfRule type="expression" priority="142" dxfId="197">
      <formula>IF($L42="I",TRUE,FALSE)</formula>
    </cfRule>
  </conditionalFormatting>
  <conditionalFormatting sqref="C47:C48">
    <cfRule type="expression" priority="140" dxfId="1">
      <formula>IF($L47="I",TRUE,FALSE)</formula>
    </cfRule>
    <cfRule type="expression" priority="141" dxfId="0">
      <formula>IF($L47="T",TRUE,FALSE)</formula>
    </cfRule>
  </conditionalFormatting>
  <conditionalFormatting sqref="C47:C48">
    <cfRule type="expression" priority="139" dxfId="197">
      <formula>IF($L47="I",TRUE,FALSE)</formula>
    </cfRule>
  </conditionalFormatting>
  <conditionalFormatting sqref="A58 I58 E58:G58">
    <cfRule type="expression" priority="137" dxfId="1">
      <formula>IF($L58="I",TRUE,FALSE)</formula>
    </cfRule>
    <cfRule type="expression" priority="138" dxfId="0">
      <formula>IF($L58="T",TRUE,FALSE)</formula>
    </cfRule>
  </conditionalFormatting>
  <conditionalFormatting sqref="A59 I59 E59:G59">
    <cfRule type="expression" priority="135" dxfId="1">
      <formula>IF($L59="I",TRUE,FALSE)</formula>
    </cfRule>
    <cfRule type="expression" priority="136" dxfId="0">
      <formula>IF($L59="T",TRUE,FALSE)</formula>
    </cfRule>
  </conditionalFormatting>
  <conditionalFormatting sqref="A69 I69 E69:G69">
    <cfRule type="expression" priority="133" dxfId="1">
      <formula>IF($L69="I",TRUE,FALSE)</formula>
    </cfRule>
    <cfRule type="expression" priority="134" dxfId="0">
      <formula>IF($L69="T",TRUE,FALSE)</formula>
    </cfRule>
  </conditionalFormatting>
  <conditionalFormatting sqref="E70:E73">
    <cfRule type="expression" priority="131" dxfId="1">
      <formula>IF($L70="I",TRUE,FALSE)</formula>
    </cfRule>
    <cfRule type="expression" priority="132" dxfId="0">
      <formula>IF($L70="T",TRUE,FALSE)</formula>
    </cfRule>
  </conditionalFormatting>
  <conditionalFormatting sqref="A74 I74 E74:G74">
    <cfRule type="expression" priority="129" dxfId="1">
      <formula>IF($L74="I",TRUE,FALSE)</formula>
    </cfRule>
    <cfRule type="expression" priority="130" dxfId="0">
      <formula>IF($L74="T",TRUE,FALSE)</formula>
    </cfRule>
  </conditionalFormatting>
  <conditionalFormatting sqref="E75:E79">
    <cfRule type="expression" priority="127" dxfId="1">
      <formula>IF($L75="I",TRUE,FALSE)</formula>
    </cfRule>
    <cfRule type="expression" priority="128" dxfId="0">
      <formula>IF($L75="T",TRUE,FALSE)</formula>
    </cfRule>
  </conditionalFormatting>
  <conditionalFormatting sqref="A80 I80 E80:G80">
    <cfRule type="expression" priority="125" dxfId="1">
      <formula>IF($L80="I",TRUE,FALSE)</formula>
    </cfRule>
    <cfRule type="expression" priority="126" dxfId="0">
      <formula>IF($L80="T",TRUE,FALSE)</formula>
    </cfRule>
  </conditionalFormatting>
  <conditionalFormatting sqref="E81:E83">
    <cfRule type="expression" priority="123" dxfId="1">
      <formula>IF($L81="I",TRUE,FALSE)</formula>
    </cfRule>
    <cfRule type="expression" priority="124" dxfId="0">
      <formula>IF($L81="T",TRUE,FALSE)</formula>
    </cfRule>
  </conditionalFormatting>
  <conditionalFormatting sqref="A85 I85 E85:G85">
    <cfRule type="expression" priority="121" dxfId="1">
      <formula>IF($L85="I",TRUE,FALSE)</formula>
    </cfRule>
    <cfRule type="expression" priority="122" dxfId="0">
      <formula>IF($L85="T",TRUE,FALSE)</formula>
    </cfRule>
  </conditionalFormatting>
  <conditionalFormatting sqref="E86:E88">
    <cfRule type="expression" priority="119" dxfId="1">
      <formula>IF($L86="I",TRUE,FALSE)</formula>
    </cfRule>
    <cfRule type="expression" priority="120" dxfId="0">
      <formula>IF($L86="T",TRUE,FALSE)</formula>
    </cfRule>
  </conditionalFormatting>
  <conditionalFormatting sqref="A89 I89 E89:G89">
    <cfRule type="expression" priority="117" dxfId="1">
      <formula>IF($L89="I",TRUE,FALSE)</formula>
    </cfRule>
    <cfRule type="expression" priority="118" dxfId="0">
      <formula>IF($L89="T",TRUE,FALSE)</formula>
    </cfRule>
  </conditionalFormatting>
  <conditionalFormatting sqref="E90:E91">
    <cfRule type="expression" priority="115" dxfId="1">
      <formula>IF($L90="I",TRUE,FALSE)</formula>
    </cfRule>
    <cfRule type="expression" priority="116" dxfId="0">
      <formula>IF($L90="T",TRUE,FALSE)</formula>
    </cfRule>
  </conditionalFormatting>
  <conditionalFormatting sqref="I90:I91">
    <cfRule type="expression" priority="113" dxfId="1">
      <formula>IF($L90="I",TRUE,FALSE)</formula>
    </cfRule>
    <cfRule type="expression" priority="114" dxfId="0">
      <formula>IF($L90="T",TRUE,FALSE)</formula>
    </cfRule>
  </conditionalFormatting>
  <conditionalFormatting sqref="A93:A96 A98:A104 A106:A113">
    <cfRule type="expression" priority="111" dxfId="1">
      <formula>IF(#REF!="I",TRUE,FALSE)</formula>
    </cfRule>
    <cfRule type="expression" priority="112" dxfId="0">
      <formula>IF(#REF!="T",TRUE,FALSE)</formula>
    </cfRule>
  </conditionalFormatting>
  <conditionalFormatting sqref="A92 I92 E92:G92">
    <cfRule type="expression" priority="109" dxfId="1">
      <formula>IF($L92="I",TRUE,FALSE)</formula>
    </cfRule>
    <cfRule type="expression" priority="110" dxfId="0">
      <formula>IF($L92="T",TRUE,FALSE)</formula>
    </cfRule>
  </conditionalFormatting>
  <conditionalFormatting sqref="E36:F36 I36 A36">
    <cfRule type="expression" priority="107" dxfId="1">
      <formula>IF($L36="I",TRUE,FALSE)</formula>
    </cfRule>
    <cfRule type="expression" priority="108" dxfId="0">
      <formula>IF($L36="T",TRUE,FALSE)</formula>
    </cfRule>
  </conditionalFormatting>
  <conditionalFormatting sqref="A33">
    <cfRule type="expression" priority="105" dxfId="1">
      <formula>IF($L33="I",TRUE,FALSE)</formula>
    </cfRule>
    <cfRule type="expression" priority="106" dxfId="0">
      <formula>IF($L33="T",TRUE,FALSE)</formula>
    </cfRule>
  </conditionalFormatting>
  <conditionalFormatting sqref="C33">
    <cfRule type="expression" priority="102" dxfId="197">
      <formula>IF($L33="I",TRUE,FALSE)</formula>
    </cfRule>
  </conditionalFormatting>
  <conditionalFormatting sqref="C33">
    <cfRule type="expression" priority="103" dxfId="1">
      <formula>IF($L33="I",TRUE,FALSE)</formula>
    </cfRule>
    <cfRule type="expression" priority="104" dxfId="0">
      <formula>IF($L33="T",TRUE,FALSE)</formula>
    </cfRule>
  </conditionalFormatting>
  <conditionalFormatting sqref="A97 I97 E97:G97">
    <cfRule type="expression" priority="100" dxfId="1">
      <formula>IF($L97="I",TRUE,FALSE)</formula>
    </cfRule>
    <cfRule type="expression" priority="101" dxfId="0">
      <formula>IF($L97="T",TRUE,FALSE)</formula>
    </cfRule>
  </conditionalFormatting>
  <conditionalFormatting sqref="B98:D98">
    <cfRule type="expression" priority="98" dxfId="1">
      <formula>IF($L98="I",TRUE,FALSE)</formula>
    </cfRule>
    <cfRule type="expression" priority="99" dxfId="0">
      <formula>IF($L98="T",TRUE,FALSE)</formula>
    </cfRule>
  </conditionalFormatting>
  <conditionalFormatting sqref="C98">
    <cfRule type="expression" priority="97" dxfId="197">
      <formula>IF($L98="I",TRUE,FALSE)</formula>
    </cfRule>
  </conditionalFormatting>
  <conditionalFormatting sqref="B99:D100 C101">
    <cfRule type="expression" priority="95" dxfId="1">
      <formula>IF($L99="I",TRUE,FALSE)</formula>
    </cfRule>
    <cfRule type="expression" priority="96" dxfId="0">
      <formula>IF($L99="T",TRUE,FALSE)</formula>
    </cfRule>
  </conditionalFormatting>
  <conditionalFormatting sqref="C99:C101">
    <cfRule type="expression" priority="94" dxfId="197">
      <formula>IF($L99="I",TRUE,FALSE)</formula>
    </cfRule>
  </conditionalFormatting>
  <conditionalFormatting sqref="B102:D103">
    <cfRule type="expression" priority="92" dxfId="1">
      <formula>IF($L102="I",TRUE,FALSE)</formula>
    </cfRule>
    <cfRule type="expression" priority="93" dxfId="0">
      <formula>IF($L102="T",TRUE,FALSE)</formula>
    </cfRule>
  </conditionalFormatting>
  <conditionalFormatting sqref="C102:C103">
    <cfRule type="expression" priority="91" dxfId="197">
      <formula>IF($L102="I",TRUE,FALSE)</formula>
    </cfRule>
  </conditionalFormatting>
  <conditionalFormatting sqref="A34">
    <cfRule type="expression" priority="89" dxfId="1">
      <formula>IF($L34="I",TRUE,FALSE)</formula>
    </cfRule>
    <cfRule type="expression" priority="90" dxfId="0">
      <formula>IF($L34="T",TRUE,FALSE)</formula>
    </cfRule>
  </conditionalFormatting>
  <conditionalFormatting sqref="C34">
    <cfRule type="expression" priority="86" dxfId="197">
      <formula>IF($L34="I",TRUE,FALSE)</formula>
    </cfRule>
  </conditionalFormatting>
  <conditionalFormatting sqref="C34">
    <cfRule type="expression" priority="87" dxfId="1">
      <formula>IF($L34="I",TRUE,FALSE)</formula>
    </cfRule>
    <cfRule type="expression" priority="88" dxfId="0">
      <formula>IF($L34="T",TRUE,FALSE)</formula>
    </cfRule>
  </conditionalFormatting>
  <conditionalFormatting sqref="E110:E111">
    <cfRule type="expression" priority="84" dxfId="1">
      <formula>IF($L110="I",TRUE,FALSE)</formula>
    </cfRule>
    <cfRule type="expression" priority="85" dxfId="0">
      <formula>IF($L110="T",TRUE,FALSE)</formula>
    </cfRule>
  </conditionalFormatting>
  <conditionalFormatting sqref="E112">
    <cfRule type="expression" priority="82" dxfId="1">
      <formula>IF($L112="I",TRUE,FALSE)</formula>
    </cfRule>
    <cfRule type="expression" priority="83" dxfId="0">
      <formula>IF($L112="T",TRUE,FALSE)</formula>
    </cfRule>
  </conditionalFormatting>
  <conditionalFormatting sqref="E109">
    <cfRule type="expression" priority="80" dxfId="1">
      <formula>IF($L109="I",TRUE,FALSE)</formula>
    </cfRule>
    <cfRule type="expression" priority="81" dxfId="0">
      <formula>IF($L109="T",TRUE,FALSE)</formula>
    </cfRule>
  </conditionalFormatting>
  <conditionalFormatting sqref="B106:D106">
    <cfRule type="expression" priority="78" dxfId="1">
      <formula>IF($L106="I",TRUE,FALSE)</formula>
    </cfRule>
    <cfRule type="expression" priority="79" dxfId="0">
      <formula>IF($L106="T",TRUE,FALSE)</formula>
    </cfRule>
  </conditionalFormatting>
  <conditionalFormatting sqref="C106">
    <cfRule type="expression" priority="77" dxfId="197">
      <formula>IF($L106="I",TRUE,FALSE)</formula>
    </cfRule>
  </conditionalFormatting>
  <conditionalFormatting sqref="B107:D107">
    <cfRule type="expression" priority="75" dxfId="1">
      <formula>IF($L107="I",TRUE,FALSE)</formula>
    </cfRule>
    <cfRule type="expression" priority="76" dxfId="0">
      <formula>IF($L107="T",TRUE,FALSE)</formula>
    </cfRule>
  </conditionalFormatting>
  <conditionalFormatting sqref="C107">
    <cfRule type="expression" priority="74" dxfId="197">
      <formula>IF($L107="I",TRUE,FALSE)</formula>
    </cfRule>
  </conditionalFormatting>
  <conditionalFormatting sqref="E113">
    <cfRule type="expression" priority="72" dxfId="1">
      <formula>IF($L113="I",TRUE,FALSE)</formula>
    </cfRule>
    <cfRule type="expression" priority="73" dxfId="0">
      <formula>IF($L113="T",TRUE,FALSE)</formula>
    </cfRule>
  </conditionalFormatting>
  <conditionalFormatting sqref="C108">
    <cfRule type="expression" priority="70" dxfId="1">
      <formula>IF($L108="I",TRUE,FALSE)</formula>
    </cfRule>
    <cfRule type="expression" priority="71" dxfId="0">
      <formula>IF($L108="T",TRUE,FALSE)</formula>
    </cfRule>
  </conditionalFormatting>
  <conditionalFormatting sqref="C108">
    <cfRule type="expression" priority="69" dxfId="197">
      <formula>IF($L108="I",TRUE,FALSE)</formula>
    </cfRule>
  </conditionalFormatting>
  <conditionalFormatting sqref="A105 I105 E105:G105">
    <cfRule type="expression" priority="67" dxfId="1">
      <formula>IF($L105="I",TRUE,FALSE)</formula>
    </cfRule>
    <cfRule type="expression" priority="68" dxfId="0">
      <formula>IF($L105="T",TRUE,FALSE)</formula>
    </cfRule>
  </conditionalFormatting>
  <conditionalFormatting sqref="F110:F111">
    <cfRule type="expression" priority="65" dxfId="1">
      <formula>IF($L110="I",TRUE,FALSE)</formula>
    </cfRule>
    <cfRule type="expression" priority="66" dxfId="0">
      <formula>IF($L110="T",TRUE,FALSE)</formula>
    </cfRule>
  </conditionalFormatting>
  <conditionalFormatting sqref="F112">
    <cfRule type="expression" priority="63" dxfId="1">
      <formula>IF($L112="I",TRUE,FALSE)</formula>
    </cfRule>
    <cfRule type="expression" priority="64" dxfId="0">
      <formula>IF($L112="T",TRUE,FALSE)</formula>
    </cfRule>
  </conditionalFormatting>
  <conditionalFormatting sqref="F109">
    <cfRule type="expression" priority="61" dxfId="1">
      <formula>IF($L109="I",TRUE,FALSE)</formula>
    </cfRule>
    <cfRule type="expression" priority="62" dxfId="0">
      <formula>IF($L109="T",TRUE,FALSE)</formula>
    </cfRule>
  </conditionalFormatting>
  <conditionalFormatting sqref="F113">
    <cfRule type="expression" priority="59" dxfId="1">
      <formula>IF($L113="I",TRUE,FALSE)</formula>
    </cfRule>
    <cfRule type="expression" priority="60" dxfId="0">
      <formula>IF($L113="T",TRUE,FALSE)</formula>
    </cfRule>
  </conditionalFormatting>
  <conditionalFormatting sqref="A114:A115 I114:I115 E114:G115">
    <cfRule type="expression" priority="57" dxfId="1">
      <formula>IF($L114="I",TRUE,FALSE)</formula>
    </cfRule>
    <cfRule type="expression" priority="58" dxfId="0">
      <formula>IF($L114="T",TRUE,FALSE)</formula>
    </cfRule>
  </conditionalFormatting>
  <conditionalFormatting sqref="A116:A123">
    <cfRule type="expression" priority="55" dxfId="1">
      <formula>IF($L116="I",TRUE,FALSE)</formula>
    </cfRule>
    <cfRule type="expression" priority="56" dxfId="0">
      <formula>IF($L116="T",TRUE,FALSE)</formula>
    </cfRule>
  </conditionalFormatting>
  <conditionalFormatting sqref="A116:A123 A130:A132">
    <cfRule type="expression" priority="53" dxfId="1">
      <formula>IF(#REF!="I",TRUE,FALSE)</formula>
    </cfRule>
    <cfRule type="expression" priority="54" dxfId="0">
      <formula>IF(#REF!="T",TRUE,FALSE)</formula>
    </cfRule>
  </conditionalFormatting>
  <conditionalFormatting sqref="F116:G123 I116:I123">
    <cfRule type="expression" priority="51" dxfId="1">
      <formula>IF($L116="I",TRUE,FALSE)</formula>
    </cfRule>
    <cfRule type="expression" priority="52" dxfId="0">
      <formula>IF($L116="T",TRUE,FALSE)</formula>
    </cfRule>
  </conditionalFormatting>
  <conditionalFormatting sqref="E116:E123">
    <cfRule type="expression" priority="49" dxfId="1">
      <formula>IF($L116="I",TRUE,FALSE)</formula>
    </cfRule>
    <cfRule type="expression" priority="50" dxfId="0">
      <formula>IF($L116="T",TRUE,FALSE)</formula>
    </cfRule>
  </conditionalFormatting>
  <conditionalFormatting sqref="F130:G132 I130:I132">
    <cfRule type="expression" priority="47" dxfId="1">
      <formula>IF($L130="I",TRUE,FALSE)</formula>
    </cfRule>
    <cfRule type="expression" priority="48" dxfId="0">
      <formula>IF($L130="T",TRUE,FALSE)</formula>
    </cfRule>
  </conditionalFormatting>
  <conditionalFormatting sqref="E130:E132">
    <cfRule type="expression" priority="45" dxfId="1">
      <formula>IF($L130="I",TRUE,FALSE)</formula>
    </cfRule>
    <cfRule type="expression" priority="46" dxfId="0">
      <formula>IF($L130="T",TRUE,FALSE)</formula>
    </cfRule>
  </conditionalFormatting>
  <conditionalFormatting sqref="I124 E124:G124">
    <cfRule type="expression" priority="43" dxfId="1">
      <formula>IF($L124="I",TRUE,FALSE)</formula>
    </cfRule>
    <cfRule type="expression" priority="44" dxfId="0">
      <formula>IF($L124="T",TRUE,FALSE)</formula>
    </cfRule>
  </conditionalFormatting>
  <conditionalFormatting sqref="A129 I129 E129:G129">
    <cfRule type="expression" priority="41" dxfId="1">
      <formula>IF($L129="I",TRUE,FALSE)</formula>
    </cfRule>
    <cfRule type="expression" priority="42" dxfId="0">
      <formula>IF($L129="T",TRUE,FALSE)</formula>
    </cfRule>
  </conditionalFormatting>
  <conditionalFormatting sqref="F125:G128 I125:I128">
    <cfRule type="expression" priority="39" dxfId="1">
      <formula>IF($L125="I",TRUE,FALSE)</formula>
    </cfRule>
    <cfRule type="expression" priority="40" dxfId="0">
      <formula>IF($L125="T",TRUE,FALSE)</formula>
    </cfRule>
  </conditionalFormatting>
  <conditionalFormatting sqref="E125:E128">
    <cfRule type="expression" priority="37" dxfId="1">
      <formula>IF($L125="I",TRUE,FALSE)</formula>
    </cfRule>
    <cfRule type="expression" priority="38" dxfId="0">
      <formula>IF($L125="T",TRUE,FALSE)</formula>
    </cfRule>
  </conditionalFormatting>
  <conditionalFormatting sqref="A144:A148 A150:A152">
    <cfRule type="expression" priority="35" dxfId="1">
      <formula>IF($L144="I",TRUE,FALSE)</formula>
    </cfRule>
    <cfRule type="expression" priority="36" dxfId="0">
      <formula>IF($L144="T",TRUE,FALSE)</formula>
    </cfRule>
  </conditionalFormatting>
  <conditionalFormatting sqref="A134:A135 I134:I135 E134:G135">
    <cfRule type="expression" priority="33" dxfId="1">
      <formula>IF($L134="I",TRUE,FALSE)</formula>
    </cfRule>
    <cfRule type="expression" priority="34" dxfId="0">
      <formula>IF($L134="T",TRUE,FALSE)</formula>
    </cfRule>
  </conditionalFormatting>
  <conditionalFormatting sqref="A136:A143">
    <cfRule type="expression" priority="31" dxfId="1">
      <formula>IF($L136="I",TRUE,FALSE)</formula>
    </cfRule>
    <cfRule type="expression" priority="32" dxfId="0">
      <formula>IF($L136="T",TRUE,FALSE)</formula>
    </cfRule>
  </conditionalFormatting>
  <conditionalFormatting sqref="A136:A143 A150:A152">
    <cfRule type="expression" priority="29" dxfId="1">
      <formula>IF(#REF!="I",TRUE,FALSE)</formula>
    </cfRule>
    <cfRule type="expression" priority="30" dxfId="0">
      <formula>IF(#REF!="T",TRUE,FALSE)</formula>
    </cfRule>
  </conditionalFormatting>
  <conditionalFormatting sqref="F136:G143 I136:I143">
    <cfRule type="expression" priority="27" dxfId="1">
      <formula>IF($L136="I",TRUE,FALSE)</formula>
    </cfRule>
    <cfRule type="expression" priority="28" dxfId="0">
      <formula>IF($L136="T",TRUE,FALSE)</formula>
    </cfRule>
  </conditionalFormatting>
  <conditionalFormatting sqref="E136:E143">
    <cfRule type="expression" priority="25" dxfId="1">
      <formula>IF($L136="I",TRUE,FALSE)</formula>
    </cfRule>
    <cfRule type="expression" priority="26" dxfId="0">
      <formula>IF($L136="T",TRUE,FALSE)</formula>
    </cfRule>
  </conditionalFormatting>
  <conditionalFormatting sqref="F150:G152 I150:I152">
    <cfRule type="expression" priority="23" dxfId="1">
      <formula>IF($L150="I",TRUE,FALSE)</formula>
    </cfRule>
    <cfRule type="expression" priority="24" dxfId="0">
      <formula>IF($L150="T",TRUE,FALSE)</formula>
    </cfRule>
  </conditionalFormatting>
  <conditionalFormatting sqref="E150:E152">
    <cfRule type="expression" priority="21" dxfId="1">
      <formula>IF($L150="I",TRUE,FALSE)</formula>
    </cfRule>
    <cfRule type="expression" priority="22" dxfId="0">
      <formula>IF($L150="T",TRUE,FALSE)</formula>
    </cfRule>
  </conditionalFormatting>
  <conditionalFormatting sqref="I144 E144:G144">
    <cfRule type="expression" priority="19" dxfId="1">
      <formula>IF($L144="I",TRUE,FALSE)</formula>
    </cfRule>
    <cfRule type="expression" priority="20" dxfId="0">
      <formula>IF($L144="T",TRUE,FALSE)</formula>
    </cfRule>
  </conditionalFormatting>
  <conditionalFormatting sqref="A149 I149 E149:G149">
    <cfRule type="expression" priority="17" dxfId="1">
      <formula>IF($L149="I",TRUE,FALSE)</formula>
    </cfRule>
    <cfRule type="expression" priority="18" dxfId="0">
      <formula>IF($L149="T",TRUE,FALSE)</formula>
    </cfRule>
  </conditionalFormatting>
  <conditionalFormatting sqref="F145:G148 I145:I148">
    <cfRule type="expression" priority="15" dxfId="1">
      <formula>IF($L145="I",TRUE,FALSE)</formula>
    </cfRule>
    <cfRule type="expression" priority="16" dxfId="0">
      <formula>IF($L145="T",TRUE,FALSE)</formula>
    </cfRule>
  </conditionalFormatting>
  <conditionalFormatting sqref="E145:E148">
    <cfRule type="expression" priority="13" dxfId="1">
      <formula>IF($L145="I",TRUE,FALSE)</formula>
    </cfRule>
    <cfRule type="expression" priority="14" dxfId="0">
      <formula>IF($L145="T",TRUE,FALSE)</formula>
    </cfRule>
  </conditionalFormatting>
  <conditionalFormatting sqref="G133 A133 I133">
    <cfRule type="expression" priority="11" dxfId="1">
      <formula>IF($L133="I",TRUE,FALSE)</formula>
    </cfRule>
    <cfRule type="expression" priority="12" dxfId="0">
      <formula>IF($L133="T",TRUE,FALSE)</formula>
    </cfRule>
  </conditionalFormatting>
  <conditionalFormatting sqref="A133">
    <cfRule type="expression" priority="9" dxfId="1">
      <formula>IF(#REF!="I",TRUE,FALSE)</formula>
    </cfRule>
    <cfRule type="expression" priority="10" dxfId="0">
      <formula>IF(#REF!="T",TRUE,FALSE)</formula>
    </cfRule>
  </conditionalFormatting>
  <conditionalFormatting sqref="G153 A153 I153">
    <cfRule type="expression" priority="7" dxfId="1">
      <formula>IF($L153="I",TRUE,FALSE)</formula>
    </cfRule>
    <cfRule type="expression" priority="8" dxfId="0">
      <formula>IF($L153="T",TRUE,FALSE)</formula>
    </cfRule>
  </conditionalFormatting>
  <conditionalFormatting sqref="A153">
    <cfRule type="expression" priority="5" dxfId="1">
      <formula>IF(#REF!="I",TRUE,FALSE)</formula>
    </cfRule>
    <cfRule type="expression" priority="6" dxfId="0">
      <formula>IF(#REF!="T",TRUE,FALSE)</formula>
    </cfRule>
  </conditionalFormatting>
  <conditionalFormatting sqref="G84 A84 I84">
    <cfRule type="expression" priority="3" dxfId="1">
      <formula>IF($L84="I",TRUE,FALSE)</formula>
    </cfRule>
    <cfRule type="expression" priority="4" dxfId="0">
      <formula>IF($L84="T",TRUE,FALSE)</formula>
    </cfRule>
  </conditionalFormatting>
  <conditionalFormatting sqref="A84">
    <cfRule type="expression" priority="1" dxfId="1">
      <formula>IF(#REF!="I",TRUE,FALSE)</formula>
    </cfRule>
    <cfRule type="expression" priority="2" dxfId="0">
      <formula>IF(#REF!="T",TRUE,FALSE)</formula>
    </cfRule>
  </conditionalFormatting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162"/>
  <sheetViews>
    <sheetView showGridLines="0" tabSelected="1" workbookViewId="0" topLeftCell="A85">
      <selection activeCell="I42" sqref="I42"/>
    </sheetView>
  </sheetViews>
  <sheetFormatPr defaultColWidth="9.140625" defaultRowHeight="15"/>
  <cols>
    <col min="1" max="1" width="9.140625" style="16" customWidth="1"/>
    <col min="2" max="2" width="10.8515625" style="124" bestFit="1" customWidth="1"/>
    <col min="3" max="3" width="10.8515625" style="124" customWidth="1"/>
    <col min="4" max="4" width="54.8515625" style="16" customWidth="1"/>
    <col min="5" max="5" width="9.140625" style="16" customWidth="1"/>
    <col min="6" max="6" width="9.140625" style="18" customWidth="1"/>
    <col min="7" max="7" width="14.57421875" style="16" customWidth="1"/>
    <col min="8" max="8" width="14.8515625" style="16" customWidth="1"/>
    <col min="9" max="9" width="16.421875" style="16" customWidth="1"/>
    <col min="10" max="10" width="15.00390625" style="0" customWidth="1"/>
    <col min="11" max="11" width="14.421875" style="0" bestFit="1" customWidth="1"/>
  </cols>
  <sheetData>
    <row r="1" ht="15"/>
    <row r="2" ht="15"/>
    <row r="3" ht="15"/>
    <row r="4" ht="15"/>
    <row r="5" spans="1:10" ht="27" customHeight="1">
      <c r="A5" s="90"/>
      <c r="B5" s="77"/>
      <c r="C5" s="77"/>
      <c r="D5" s="91"/>
      <c r="E5" s="92"/>
      <c r="F5" s="77"/>
      <c r="G5" s="238"/>
      <c r="H5" s="93"/>
      <c r="I5" s="94"/>
      <c r="J5" s="35"/>
    </row>
    <row r="6" spans="1:10" ht="15">
      <c r="A6" s="90"/>
      <c r="B6" s="77"/>
      <c r="C6" s="77"/>
      <c r="D6" s="91"/>
      <c r="E6" s="92"/>
      <c r="F6" s="77"/>
      <c r="G6" s="238"/>
      <c r="H6" s="93"/>
      <c r="I6" s="95"/>
      <c r="J6" s="36"/>
    </row>
    <row r="7" spans="1:10" ht="15">
      <c r="A7" s="90"/>
      <c r="B7" s="77"/>
      <c r="C7" s="77"/>
      <c r="D7" s="91"/>
      <c r="E7" s="92"/>
      <c r="F7" s="77"/>
      <c r="G7" s="238"/>
      <c r="H7" s="96"/>
      <c r="I7" s="97"/>
      <c r="J7" s="37"/>
    </row>
    <row r="8" spans="1:10" s="117" customFormat="1" ht="41.25" customHeight="1">
      <c r="A8" s="239" t="s">
        <v>66</v>
      </c>
      <c r="B8" s="239"/>
      <c r="C8" s="239"/>
      <c r="D8" s="239"/>
      <c r="E8" s="239"/>
      <c r="F8" s="239"/>
      <c r="G8" s="239"/>
      <c r="H8" s="239"/>
      <c r="I8" s="239"/>
      <c r="J8" s="116"/>
    </row>
    <row r="9" spans="1:10" ht="15.75">
      <c r="A9" s="98" t="s">
        <v>234</v>
      </c>
      <c r="B9" s="78"/>
      <c r="C9" s="78"/>
      <c r="D9" s="99"/>
      <c r="E9" s="100"/>
      <c r="F9" s="78"/>
      <c r="G9" s="240" t="s">
        <v>44</v>
      </c>
      <c r="H9" s="101" t="s">
        <v>132</v>
      </c>
      <c r="I9" s="102"/>
      <c r="J9" s="21"/>
    </row>
    <row r="10" spans="1:10" ht="15">
      <c r="A10" s="103" t="s">
        <v>248</v>
      </c>
      <c r="B10" s="79"/>
      <c r="C10" s="77"/>
      <c r="D10" s="104"/>
      <c r="E10" s="104"/>
      <c r="F10" s="105"/>
      <c r="G10" s="240"/>
      <c r="H10" s="106" t="s">
        <v>213</v>
      </c>
      <c r="I10" s="102"/>
      <c r="J10" s="21"/>
    </row>
    <row r="11" spans="1:10" ht="15">
      <c r="A11" s="99"/>
      <c r="B11" s="79"/>
      <c r="C11" s="77"/>
      <c r="D11" s="104"/>
      <c r="E11" s="104"/>
      <c r="F11" s="105"/>
      <c r="G11" s="240"/>
      <c r="H11" s="106" t="s">
        <v>214</v>
      </c>
      <c r="I11" s="102"/>
      <c r="J11" s="21"/>
    </row>
    <row r="12" spans="1:10" ht="15">
      <c r="A12" s="92"/>
      <c r="B12" s="77"/>
      <c r="C12" s="77"/>
      <c r="D12" s="92"/>
      <c r="E12" s="92"/>
      <c r="F12" s="107"/>
      <c r="G12" s="108" t="s">
        <v>1</v>
      </c>
      <c r="H12" s="109">
        <v>0.2247</v>
      </c>
      <c r="I12" s="92"/>
      <c r="J12" s="22"/>
    </row>
    <row r="13" spans="1:10" ht="15">
      <c r="A13" s="92"/>
      <c r="B13" s="77"/>
      <c r="C13" s="77"/>
      <c r="D13" s="92"/>
      <c r="E13" s="92"/>
      <c r="F13" s="107"/>
      <c r="G13" s="108" t="s">
        <v>0</v>
      </c>
      <c r="H13" s="110">
        <v>44927</v>
      </c>
      <c r="I13" s="92"/>
      <c r="J13" s="22"/>
    </row>
    <row r="15" spans="1:9" ht="15">
      <c r="A15" s="111" t="s">
        <v>2</v>
      </c>
      <c r="B15" s="80" t="s">
        <v>3</v>
      </c>
      <c r="C15" s="80" t="s">
        <v>64</v>
      </c>
      <c r="D15" s="111" t="s">
        <v>4</v>
      </c>
      <c r="E15" s="111" t="s">
        <v>5</v>
      </c>
      <c r="F15" s="80" t="s">
        <v>6</v>
      </c>
      <c r="G15" s="111" t="s">
        <v>7</v>
      </c>
      <c r="H15" s="111" t="s">
        <v>8</v>
      </c>
      <c r="I15" s="111" t="s">
        <v>9</v>
      </c>
    </row>
    <row r="16" spans="1:9" ht="26.25" customHeight="1">
      <c r="A16" s="55" t="s">
        <v>68</v>
      </c>
      <c r="B16" s="56"/>
      <c r="C16" s="56"/>
      <c r="D16" s="57" t="s">
        <v>81</v>
      </c>
      <c r="E16" s="56"/>
      <c r="F16" s="58"/>
      <c r="G16" s="59"/>
      <c r="H16" s="59"/>
      <c r="I16" s="60">
        <f>SUM(I17:I28)</f>
        <v>24419.2279316375</v>
      </c>
    </row>
    <row r="17" spans="1:9" ht="30">
      <c r="A17" s="6" t="s">
        <v>69</v>
      </c>
      <c r="B17" s="112" t="s">
        <v>126</v>
      </c>
      <c r="C17" s="125" t="s">
        <v>10</v>
      </c>
      <c r="D17" s="113" t="s">
        <v>127</v>
      </c>
      <c r="E17" s="9" t="s">
        <v>19</v>
      </c>
      <c r="F17" s="42">
        <f>MEMÓRIA!D3</f>
        <v>743.5</v>
      </c>
      <c r="G17" s="11">
        <v>0.82</v>
      </c>
      <c r="H17" s="12">
        <f>H12*G17+G17</f>
        <v>1.004254</v>
      </c>
      <c r="I17" s="13">
        <f aca="true" t="shared" si="0" ref="I17:I18">H17*F17</f>
        <v>746.6628489999999</v>
      </c>
    </row>
    <row r="18" spans="1:9" ht="30">
      <c r="A18" s="82" t="s">
        <v>70</v>
      </c>
      <c r="B18" s="125" t="s">
        <v>83</v>
      </c>
      <c r="C18" s="83" t="s">
        <v>10</v>
      </c>
      <c r="D18" s="3" t="s">
        <v>82</v>
      </c>
      <c r="E18" s="83" t="s">
        <v>84</v>
      </c>
      <c r="F18" s="123">
        <v>1</v>
      </c>
      <c r="G18" s="84">
        <v>1263.54</v>
      </c>
      <c r="H18" s="84">
        <f>H12*G18+G18</f>
        <v>1547.457438</v>
      </c>
      <c r="I18" s="85">
        <f t="shared" si="0"/>
        <v>1547.457438</v>
      </c>
    </row>
    <row r="19" spans="1:9" ht="15">
      <c r="A19" s="40" t="s">
        <v>71</v>
      </c>
      <c r="B19" s="125" t="s">
        <v>86</v>
      </c>
      <c r="C19" s="41" t="s">
        <v>10</v>
      </c>
      <c r="D19" s="1" t="s">
        <v>85</v>
      </c>
      <c r="E19" s="41" t="s">
        <v>12</v>
      </c>
      <c r="F19" s="42">
        <v>1</v>
      </c>
      <c r="G19" s="43">
        <v>3128.84</v>
      </c>
      <c r="H19" s="43">
        <f>H12*G19+G19</f>
        <v>3831.8903480000004</v>
      </c>
      <c r="I19" s="44">
        <f>H19*F19</f>
        <v>3831.8903480000004</v>
      </c>
    </row>
    <row r="20" spans="1:9" ht="15">
      <c r="A20" s="19" t="s">
        <v>72</v>
      </c>
      <c r="B20" s="125" t="s">
        <v>88</v>
      </c>
      <c r="C20" s="125" t="s">
        <v>10</v>
      </c>
      <c r="D20" s="1" t="s">
        <v>87</v>
      </c>
      <c r="E20" s="9" t="s">
        <v>19</v>
      </c>
      <c r="F20" s="42">
        <f>MEMÓRIA!D6</f>
        <v>3</v>
      </c>
      <c r="G20" s="11">
        <v>894.32</v>
      </c>
      <c r="H20" s="12">
        <f>H12*G20+G20</f>
        <v>1095.2737040000002</v>
      </c>
      <c r="I20" s="13">
        <f aca="true" t="shared" si="1" ref="I20">H20*F20</f>
        <v>3285.8211120000005</v>
      </c>
    </row>
    <row r="21" spans="1:9" ht="30">
      <c r="A21" s="86" t="s">
        <v>73</v>
      </c>
      <c r="B21" s="125" t="s">
        <v>90</v>
      </c>
      <c r="C21" s="41" t="s">
        <v>10</v>
      </c>
      <c r="D21" s="3" t="s">
        <v>89</v>
      </c>
      <c r="E21" s="41" t="s">
        <v>20</v>
      </c>
      <c r="F21" s="42">
        <f>MEMÓRIA!D7</f>
        <v>185.875</v>
      </c>
      <c r="G21" s="43">
        <v>22.2</v>
      </c>
      <c r="H21" s="43">
        <f>H12*G21+G21</f>
        <v>27.18834</v>
      </c>
      <c r="I21" s="44">
        <f aca="true" t="shared" si="2" ref="I21:I27">H21*F21</f>
        <v>5053.6326975</v>
      </c>
    </row>
    <row r="22" spans="1:9" ht="45">
      <c r="A22" s="40" t="s">
        <v>74</v>
      </c>
      <c r="B22" s="125" t="s">
        <v>134</v>
      </c>
      <c r="C22" s="125" t="s">
        <v>10</v>
      </c>
      <c r="D22" s="8" t="s">
        <v>133</v>
      </c>
      <c r="E22" s="9" t="s">
        <v>19</v>
      </c>
      <c r="F22" s="42">
        <f>MEMÓRIA!D8</f>
        <v>743.5</v>
      </c>
      <c r="G22" s="11">
        <v>4.45</v>
      </c>
      <c r="H22" s="12">
        <f>G22*H12+G22</f>
        <v>5.449915000000001</v>
      </c>
      <c r="I22" s="13">
        <f t="shared" si="2"/>
        <v>4052.0118025000006</v>
      </c>
    </row>
    <row r="23" spans="1:9" ht="30">
      <c r="A23" s="40" t="s">
        <v>287</v>
      </c>
      <c r="B23" s="148" t="s">
        <v>278</v>
      </c>
      <c r="C23" s="148" t="s">
        <v>10</v>
      </c>
      <c r="D23" s="8" t="s">
        <v>277</v>
      </c>
      <c r="E23" s="9" t="s">
        <v>12</v>
      </c>
      <c r="F23" s="42">
        <f>MEMÓRIA!D9</f>
        <v>20</v>
      </c>
      <c r="G23" s="11">
        <v>25.31</v>
      </c>
      <c r="H23" s="12">
        <f>G23*H12+G23</f>
        <v>30.997156999999998</v>
      </c>
      <c r="I23" s="13">
        <f t="shared" si="2"/>
        <v>619.94314</v>
      </c>
    </row>
    <row r="24" spans="1:9" ht="15">
      <c r="A24" s="40" t="s">
        <v>135</v>
      </c>
      <c r="B24" s="148" t="s">
        <v>280</v>
      </c>
      <c r="C24" s="148" t="s">
        <v>10</v>
      </c>
      <c r="D24" s="7" t="s">
        <v>279</v>
      </c>
      <c r="E24" s="9" t="s">
        <v>19</v>
      </c>
      <c r="F24" s="42">
        <f>MEMÓRIA!D10</f>
        <v>99.5</v>
      </c>
      <c r="G24" s="11">
        <v>4.1</v>
      </c>
      <c r="H24" s="12">
        <f>G24*H12+G24</f>
        <v>5.0212699999999995</v>
      </c>
      <c r="I24" s="13">
        <f t="shared" si="2"/>
        <v>499.616365</v>
      </c>
    </row>
    <row r="25" spans="1:9" ht="30">
      <c r="A25" s="40" t="s">
        <v>288</v>
      </c>
      <c r="B25" s="148" t="s">
        <v>282</v>
      </c>
      <c r="C25" s="148" t="s">
        <v>10</v>
      </c>
      <c r="D25" s="3" t="s">
        <v>281</v>
      </c>
      <c r="E25" s="9" t="s">
        <v>19</v>
      </c>
      <c r="F25" s="42">
        <f>MEMÓRIA!D11</f>
        <v>41.8</v>
      </c>
      <c r="G25" s="11">
        <v>3.42</v>
      </c>
      <c r="H25" s="12">
        <f>G25*H12+G25</f>
        <v>4.188474</v>
      </c>
      <c r="I25" s="13">
        <f t="shared" si="2"/>
        <v>175.0782132</v>
      </c>
    </row>
    <row r="26" spans="1:9" ht="30">
      <c r="A26" s="86" t="s">
        <v>289</v>
      </c>
      <c r="B26" s="149" t="s">
        <v>284</v>
      </c>
      <c r="C26" s="161" t="s">
        <v>10</v>
      </c>
      <c r="D26" s="5" t="s">
        <v>283</v>
      </c>
      <c r="E26" s="20" t="s">
        <v>20</v>
      </c>
      <c r="F26" s="162">
        <f>MEMÓRIA!D12</f>
        <v>11.8125</v>
      </c>
      <c r="G26" s="163">
        <v>77.88</v>
      </c>
      <c r="H26" s="164">
        <f>G26*H12+G26</f>
        <v>95.37963599999999</v>
      </c>
      <c r="I26" s="165">
        <f t="shared" si="2"/>
        <v>1126.6719502499998</v>
      </c>
    </row>
    <row r="27" spans="1:9" ht="45">
      <c r="A27" s="40" t="s">
        <v>290</v>
      </c>
      <c r="B27" s="148" t="s">
        <v>286</v>
      </c>
      <c r="C27" s="161" t="s">
        <v>10</v>
      </c>
      <c r="D27" s="3" t="s">
        <v>285</v>
      </c>
      <c r="E27" s="9" t="s">
        <v>20</v>
      </c>
      <c r="F27" s="42">
        <f>MEMÓRIA!D13</f>
        <v>17.4125</v>
      </c>
      <c r="G27" s="11">
        <v>94.33</v>
      </c>
      <c r="H27" s="12">
        <f>G27*H12+G27</f>
        <v>115.52595099999999</v>
      </c>
      <c r="I27" s="13">
        <f t="shared" si="2"/>
        <v>2011.5956217875</v>
      </c>
    </row>
    <row r="28" spans="1:9" ht="15">
      <c r="A28" s="40" t="s">
        <v>353</v>
      </c>
      <c r="B28" s="148" t="s">
        <v>355</v>
      </c>
      <c r="C28" s="148" t="s">
        <v>10</v>
      </c>
      <c r="D28" t="s">
        <v>354</v>
      </c>
      <c r="E28" s="9" t="s">
        <v>20</v>
      </c>
      <c r="F28" s="42">
        <f>MEMÓRIA!D14</f>
        <v>5.6000000000000005</v>
      </c>
      <c r="G28" s="11">
        <v>214.17</v>
      </c>
      <c r="H28" s="12">
        <f>G28*H12+G28</f>
        <v>262.293999</v>
      </c>
      <c r="I28" s="13">
        <f>H28*F28</f>
        <v>1468.8463944</v>
      </c>
    </row>
    <row r="29" spans="1:9" ht="29.25" customHeight="1">
      <c r="A29" s="61" t="s">
        <v>63</v>
      </c>
      <c r="B29" s="62"/>
      <c r="C29" s="62"/>
      <c r="D29" s="63" t="s">
        <v>23</v>
      </c>
      <c r="E29" s="64"/>
      <c r="F29" s="65"/>
      <c r="G29" s="66"/>
      <c r="H29" s="67"/>
      <c r="I29" s="68">
        <f>SUM(I30:I34)</f>
        <v>81704.12299919188</v>
      </c>
    </row>
    <row r="30" spans="1:9" ht="30">
      <c r="A30" s="40" t="s">
        <v>15</v>
      </c>
      <c r="B30" s="125" t="s">
        <v>93</v>
      </c>
      <c r="C30" s="9" t="s">
        <v>10</v>
      </c>
      <c r="D30" s="115" t="s">
        <v>92</v>
      </c>
      <c r="E30" s="24" t="s">
        <v>19</v>
      </c>
      <c r="F30" s="49">
        <f>MEMÓRIA!D16</f>
        <v>341.95</v>
      </c>
      <c r="G30" s="114">
        <v>4.09</v>
      </c>
      <c r="H30" s="114">
        <f>H12*G30+G30</f>
        <v>5.009023</v>
      </c>
      <c r="I30" s="114">
        <f aca="true" t="shared" si="3" ref="I30:I32">H30*F30</f>
        <v>1712.83541485</v>
      </c>
    </row>
    <row r="31" spans="1:9" ht="30">
      <c r="A31" s="40" t="s">
        <v>16</v>
      </c>
      <c r="B31" s="125">
        <v>94991</v>
      </c>
      <c r="C31" s="9" t="s">
        <v>95</v>
      </c>
      <c r="D31" s="115" t="s">
        <v>94</v>
      </c>
      <c r="E31" s="24" t="s">
        <v>20</v>
      </c>
      <c r="F31" s="49">
        <f>MEMÓRIA!D17</f>
        <v>5.6000000000000005</v>
      </c>
      <c r="G31" s="114">
        <v>673.93</v>
      </c>
      <c r="H31" s="114">
        <f>H12*G31+G31</f>
        <v>825.362071</v>
      </c>
      <c r="I31" s="114">
        <f t="shared" si="3"/>
        <v>4622.0275976</v>
      </c>
    </row>
    <row r="32" spans="1:9" ht="30">
      <c r="A32" s="86" t="s">
        <v>17</v>
      </c>
      <c r="B32" s="124">
        <v>101735</v>
      </c>
      <c r="C32" s="20" t="s">
        <v>95</v>
      </c>
      <c r="D32" s="5" t="s">
        <v>130</v>
      </c>
      <c r="E32" s="27" t="s">
        <v>19</v>
      </c>
      <c r="F32" s="118">
        <f>MEMÓRIA!D18</f>
        <v>121.4</v>
      </c>
      <c r="G32" s="119">
        <v>387.2</v>
      </c>
      <c r="H32" s="119">
        <f>H12*G32+G32</f>
        <v>474.20384</v>
      </c>
      <c r="I32" s="119">
        <f t="shared" si="3"/>
        <v>57568.34617600001</v>
      </c>
    </row>
    <row r="33" spans="1:9" ht="15">
      <c r="A33" s="86" t="s">
        <v>18</v>
      </c>
      <c r="B33" s="4" t="s">
        <v>117</v>
      </c>
      <c r="C33" s="9" t="s">
        <v>24</v>
      </c>
      <c r="D33" s="1" t="s">
        <v>116</v>
      </c>
      <c r="E33" s="24" t="s">
        <v>11</v>
      </c>
      <c r="F33" s="49">
        <f>MEMÓRIA!D19</f>
        <v>6.7</v>
      </c>
      <c r="G33" s="143">
        <f>42.95/1.23</f>
        <v>34.91869918699187</v>
      </c>
      <c r="H33" s="143">
        <f>G33*H12+G33</f>
        <v>42.76493089430895</v>
      </c>
      <c r="I33" s="143">
        <f>H33*F33</f>
        <v>286.52503699186997</v>
      </c>
    </row>
    <row r="34" spans="1:9" ht="45">
      <c r="A34" s="86" t="s">
        <v>245</v>
      </c>
      <c r="B34" s="142" t="s">
        <v>247</v>
      </c>
      <c r="C34" s="9" t="s">
        <v>10</v>
      </c>
      <c r="D34" s="5" t="s">
        <v>246</v>
      </c>
      <c r="E34" s="24" t="s">
        <v>11</v>
      </c>
      <c r="F34" s="49">
        <f>MEMÓRIA!D20</f>
        <v>140.55</v>
      </c>
      <c r="G34" s="143">
        <v>101.75</v>
      </c>
      <c r="H34" s="143">
        <f>G34*H12+G34</f>
        <v>124.613225</v>
      </c>
      <c r="I34" s="143">
        <f>H34*F34</f>
        <v>17514.38877375</v>
      </c>
    </row>
    <row r="35" spans="1:9" ht="27" customHeight="1">
      <c r="A35" s="69" t="s">
        <v>21</v>
      </c>
      <c r="B35" s="70"/>
      <c r="C35" s="70"/>
      <c r="D35" s="71" t="s">
        <v>101</v>
      </c>
      <c r="E35" s="72"/>
      <c r="F35" s="73"/>
      <c r="G35" s="74"/>
      <c r="H35" s="75"/>
      <c r="I35" s="76">
        <f>SUM(I36:I48)</f>
        <v>75654.029944</v>
      </c>
    </row>
    <row r="36" spans="1:9" ht="27" customHeight="1">
      <c r="A36" s="6" t="s">
        <v>22</v>
      </c>
      <c r="B36" s="125" t="s">
        <v>225</v>
      </c>
      <c r="C36" s="125" t="s">
        <v>10</v>
      </c>
      <c r="D36" s="3" t="s">
        <v>224</v>
      </c>
      <c r="E36" s="9" t="s">
        <v>12</v>
      </c>
      <c r="F36" s="10">
        <v>1</v>
      </c>
      <c r="G36" s="12">
        <v>2870.72</v>
      </c>
      <c r="H36" s="12">
        <f>G36*H12+G36</f>
        <v>3515.770784</v>
      </c>
      <c r="I36" s="13">
        <f>H36*F36</f>
        <v>3515.770784</v>
      </c>
    </row>
    <row r="37" spans="1:9" ht="30">
      <c r="A37" s="6" t="s">
        <v>25</v>
      </c>
      <c r="B37" s="125" t="s">
        <v>136</v>
      </c>
      <c r="C37" s="125" t="s">
        <v>10</v>
      </c>
      <c r="D37" s="3" t="s">
        <v>137</v>
      </c>
      <c r="E37" s="9" t="s">
        <v>12</v>
      </c>
      <c r="F37" s="10">
        <f>MEMÓRIA!D22</f>
        <v>17</v>
      </c>
      <c r="G37" s="12">
        <v>1767.86</v>
      </c>
      <c r="H37" s="12">
        <f>G37*H12+G37</f>
        <v>2165.098142</v>
      </c>
      <c r="I37" s="13">
        <f>H37*F37</f>
        <v>36806.668414</v>
      </c>
    </row>
    <row r="38" spans="1:9" ht="30">
      <c r="A38" s="6" t="s">
        <v>65</v>
      </c>
      <c r="B38" s="125" t="s">
        <v>138</v>
      </c>
      <c r="C38" s="125" t="s">
        <v>10</v>
      </c>
      <c r="D38" s="3" t="s">
        <v>139</v>
      </c>
      <c r="E38" s="9" t="s">
        <v>12</v>
      </c>
      <c r="F38" s="10">
        <f>MEMÓRIA!D23</f>
        <v>17</v>
      </c>
      <c r="G38" s="12">
        <v>101.37</v>
      </c>
      <c r="H38" s="12">
        <f>G38*H12+G38</f>
        <v>124.147839</v>
      </c>
      <c r="I38" s="13">
        <f>H38*F38</f>
        <v>2110.5132630000003</v>
      </c>
    </row>
    <row r="39" spans="1:9" ht="30">
      <c r="A39" s="6" t="s">
        <v>97</v>
      </c>
      <c r="B39" s="125" t="s">
        <v>140</v>
      </c>
      <c r="C39" s="125" t="s">
        <v>10</v>
      </c>
      <c r="D39" s="3" t="s">
        <v>141</v>
      </c>
      <c r="E39" s="9" t="s">
        <v>12</v>
      </c>
      <c r="F39" s="10">
        <f>MEMÓRIA!D24</f>
        <v>17</v>
      </c>
      <c r="G39" s="12">
        <v>900.28</v>
      </c>
      <c r="H39" s="12">
        <f>G39*H12+G39</f>
        <v>1102.572916</v>
      </c>
      <c r="I39" s="13">
        <f>H39*F39</f>
        <v>18743.739572000002</v>
      </c>
    </row>
    <row r="40" spans="1:9" ht="30">
      <c r="A40" s="6" t="s">
        <v>98</v>
      </c>
      <c r="B40" s="125" t="s">
        <v>52</v>
      </c>
      <c r="C40" s="9" t="s">
        <v>10</v>
      </c>
      <c r="D40" s="8" t="s">
        <v>46</v>
      </c>
      <c r="E40" s="24" t="s">
        <v>20</v>
      </c>
      <c r="F40" s="42">
        <f>MEMÓRIA!D25</f>
        <v>7.5</v>
      </c>
      <c r="G40" s="12">
        <v>58.41</v>
      </c>
      <c r="H40" s="12">
        <f>H12*G40+G40</f>
        <v>71.534727</v>
      </c>
      <c r="I40" s="13">
        <f aca="true" t="shared" si="4" ref="I40:I43">H40*F40</f>
        <v>536.5104525</v>
      </c>
    </row>
    <row r="41" spans="1:9" ht="15">
      <c r="A41" s="6" t="s">
        <v>99</v>
      </c>
      <c r="B41" s="24" t="s">
        <v>54</v>
      </c>
      <c r="C41" s="9" t="s">
        <v>10</v>
      </c>
      <c r="D41" s="23" t="s">
        <v>48</v>
      </c>
      <c r="E41" s="24" t="s">
        <v>20</v>
      </c>
      <c r="F41" s="42">
        <f>MEMÓRIA!D26</f>
        <v>2.25</v>
      </c>
      <c r="G41" s="12">
        <v>456.42</v>
      </c>
      <c r="H41" s="12">
        <f>G41*H12+G41</f>
        <v>558.977574</v>
      </c>
      <c r="I41" s="13">
        <f>H41*F41</f>
        <v>1257.6995415000001</v>
      </c>
    </row>
    <row r="42" spans="1:9" ht="15">
      <c r="A42" s="40" t="s">
        <v>100</v>
      </c>
      <c r="B42" s="125" t="s">
        <v>55</v>
      </c>
      <c r="C42" s="9" t="s">
        <v>10</v>
      </c>
      <c r="D42" s="1" t="s">
        <v>49</v>
      </c>
      <c r="E42" s="24" t="s">
        <v>20</v>
      </c>
      <c r="F42" s="120">
        <f>MEMÓRIA!D27</f>
        <v>5.25</v>
      </c>
      <c r="G42" s="12">
        <v>164.2</v>
      </c>
      <c r="H42" s="12">
        <f>G42*H12+G42</f>
        <v>201.09573999999998</v>
      </c>
      <c r="I42" s="12">
        <f>H42*F42</f>
        <v>1055.7526349999998</v>
      </c>
    </row>
    <row r="43" spans="1:9" ht="15">
      <c r="A43" s="40" t="s">
        <v>128</v>
      </c>
      <c r="B43" s="124" t="s">
        <v>118</v>
      </c>
      <c r="C43" s="9" t="s">
        <v>10</v>
      </c>
      <c r="D43" t="s">
        <v>119</v>
      </c>
      <c r="E43" s="9" t="s">
        <v>20</v>
      </c>
      <c r="F43" s="42">
        <f>MEMÓRIA!D28</f>
        <v>3</v>
      </c>
      <c r="G43" s="11">
        <v>18.16</v>
      </c>
      <c r="H43" s="12">
        <f>H12*G43+G43</f>
        <v>22.240552</v>
      </c>
      <c r="I43" s="13">
        <f t="shared" si="4"/>
        <v>66.721656</v>
      </c>
    </row>
    <row r="44" spans="1:9" ht="30">
      <c r="A44" s="40" t="s">
        <v>177</v>
      </c>
      <c r="B44" s="125" t="s">
        <v>120</v>
      </c>
      <c r="C44" s="9" t="s">
        <v>10</v>
      </c>
      <c r="D44" s="3" t="s">
        <v>121</v>
      </c>
      <c r="E44" s="9" t="s">
        <v>11</v>
      </c>
      <c r="F44" s="42">
        <f>MEMÓRIA!D29</f>
        <v>200</v>
      </c>
      <c r="G44" s="11">
        <v>4.75</v>
      </c>
      <c r="H44" s="12">
        <f>H12*G44+G44</f>
        <v>5.817325</v>
      </c>
      <c r="I44" s="13">
        <f>H44*F44</f>
        <v>1163.4650000000001</v>
      </c>
    </row>
    <row r="45" spans="1:9" ht="30">
      <c r="A45" s="40" t="s">
        <v>178</v>
      </c>
      <c r="B45" s="124" t="s">
        <v>122</v>
      </c>
      <c r="C45" s="9" t="s">
        <v>10</v>
      </c>
      <c r="D45" s="3" t="s">
        <v>123</v>
      </c>
      <c r="E45" s="9" t="s">
        <v>11</v>
      </c>
      <c r="F45" s="42">
        <f>MEMÓRIA!D30</f>
        <v>300</v>
      </c>
      <c r="G45" s="11">
        <v>6.83</v>
      </c>
      <c r="H45" s="81">
        <f>G45*H12+G45</f>
        <v>8.364701</v>
      </c>
      <c r="I45" s="44">
        <f>H45*F45</f>
        <v>2509.4103</v>
      </c>
    </row>
    <row r="46" spans="1:9" ht="15">
      <c r="A46" s="40" t="s">
        <v>179</v>
      </c>
      <c r="B46" s="125" t="s">
        <v>124</v>
      </c>
      <c r="C46" s="9" t="s">
        <v>10</v>
      </c>
      <c r="D46" s="1" t="s">
        <v>125</v>
      </c>
      <c r="E46" s="24" t="s">
        <v>11</v>
      </c>
      <c r="F46" s="42">
        <f>MEMÓRIA!D31</f>
        <v>150</v>
      </c>
      <c r="G46" s="12">
        <v>30.4</v>
      </c>
      <c r="H46" s="81">
        <f>G46*H12+G46</f>
        <v>37.23088</v>
      </c>
      <c r="I46" s="44">
        <f>H46*F46</f>
        <v>5584.632</v>
      </c>
    </row>
    <row r="47" spans="1:9" ht="30">
      <c r="A47" s="137" t="s">
        <v>223</v>
      </c>
      <c r="B47" s="125" t="s">
        <v>142</v>
      </c>
      <c r="C47" s="9" t="s">
        <v>10</v>
      </c>
      <c r="D47" s="3" t="s">
        <v>143</v>
      </c>
      <c r="E47" s="24" t="s">
        <v>12</v>
      </c>
      <c r="F47" s="42">
        <f>MEMÓRIA!D32</f>
        <v>6</v>
      </c>
      <c r="G47" s="12">
        <v>42.11</v>
      </c>
      <c r="H47" s="81">
        <f>G47*H12+G47</f>
        <v>51.572117</v>
      </c>
      <c r="I47" s="44">
        <f>H47*F47</f>
        <v>309.432702</v>
      </c>
    </row>
    <row r="48" spans="1:9" ht="15">
      <c r="A48" s="137" t="s">
        <v>226</v>
      </c>
      <c r="B48" s="138" t="s">
        <v>221</v>
      </c>
      <c r="C48" s="28" t="s">
        <v>10</v>
      </c>
      <c r="D48" s="26" t="s">
        <v>222</v>
      </c>
      <c r="E48" s="139" t="s">
        <v>12</v>
      </c>
      <c r="F48" s="139">
        <f>F38</f>
        <v>17</v>
      </c>
      <c r="G48" s="140">
        <v>95.76</v>
      </c>
      <c r="H48" s="140">
        <f>G48*H12+G48</f>
        <v>117.27727200000001</v>
      </c>
      <c r="I48" s="140">
        <f>H48*F48</f>
        <v>1993.7136240000002</v>
      </c>
    </row>
    <row r="49" spans="1:9" ht="31.5" customHeight="1">
      <c r="A49" s="69" t="s">
        <v>30</v>
      </c>
      <c r="B49" s="70"/>
      <c r="C49" s="70"/>
      <c r="D49" s="71" t="s">
        <v>102</v>
      </c>
      <c r="E49" s="72"/>
      <c r="F49" s="73"/>
      <c r="G49" s="74"/>
      <c r="H49" s="75"/>
      <c r="I49" s="76">
        <f>SUM(I50:I54)</f>
        <v>18333.048674</v>
      </c>
    </row>
    <row r="50" spans="1:9" ht="16.5" customHeight="1">
      <c r="A50" s="6" t="s">
        <v>31</v>
      </c>
      <c r="B50" s="125" t="s">
        <v>104</v>
      </c>
      <c r="C50" s="125" t="s">
        <v>10</v>
      </c>
      <c r="D50" s="1" t="s">
        <v>103</v>
      </c>
      <c r="E50" s="9" t="s">
        <v>12</v>
      </c>
      <c r="F50" s="10">
        <v>7</v>
      </c>
      <c r="G50" s="11">
        <v>602.66</v>
      </c>
      <c r="H50" s="12">
        <f>G50*H12+G50</f>
        <v>738.0777019999999</v>
      </c>
      <c r="I50" s="13">
        <f>H50*F50</f>
        <v>5166.543914</v>
      </c>
    </row>
    <row r="51" spans="1:9" ht="15.75" customHeight="1">
      <c r="A51" s="6" t="s">
        <v>32</v>
      </c>
      <c r="B51" s="125" t="s">
        <v>106</v>
      </c>
      <c r="C51" s="125" t="s">
        <v>10</v>
      </c>
      <c r="D51" s="1" t="s">
        <v>105</v>
      </c>
      <c r="E51" s="9" t="s">
        <v>12</v>
      </c>
      <c r="F51" s="10">
        <v>1</v>
      </c>
      <c r="G51" s="11">
        <v>5442.27</v>
      </c>
      <c r="H51" s="12">
        <f>G51*H12+G51</f>
        <v>6665.148069000001</v>
      </c>
      <c r="I51" s="13">
        <f>H51*F51</f>
        <v>6665.148069000001</v>
      </c>
    </row>
    <row r="52" spans="1:9" ht="15.75" customHeight="1">
      <c r="A52" s="6" t="s">
        <v>67</v>
      </c>
      <c r="B52" s="125" t="s">
        <v>108</v>
      </c>
      <c r="C52" s="125" t="s">
        <v>10</v>
      </c>
      <c r="D52" s="1" t="s">
        <v>107</v>
      </c>
      <c r="E52" s="9" t="s">
        <v>12</v>
      </c>
      <c r="F52" s="10">
        <v>1</v>
      </c>
      <c r="G52" s="11">
        <v>1792.31</v>
      </c>
      <c r="H52" s="12">
        <f>G52*H12+G52</f>
        <v>2195.042057</v>
      </c>
      <c r="I52" s="13">
        <f>H52*F52</f>
        <v>2195.042057</v>
      </c>
    </row>
    <row r="53" spans="1:9" ht="15">
      <c r="A53" s="6" t="s">
        <v>75</v>
      </c>
      <c r="B53" s="125" t="s">
        <v>110</v>
      </c>
      <c r="C53" s="125" t="s">
        <v>10</v>
      </c>
      <c r="D53" s="1" t="s">
        <v>109</v>
      </c>
      <c r="E53" s="9" t="s">
        <v>12</v>
      </c>
      <c r="F53" s="10">
        <v>1</v>
      </c>
      <c r="G53" s="11">
        <v>1508.06</v>
      </c>
      <c r="H53" s="12">
        <f>H12*G53+G53</f>
        <v>1846.9210819999998</v>
      </c>
      <c r="I53" s="13">
        <f>F53*H53</f>
        <v>1846.9210819999998</v>
      </c>
    </row>
    <row r="54" spans="1:9" ht="15">
      <c r="A54" s="6" t="s">
        <v>76</v>
      </c>
      <c r="B54" s="125" t="s">
        <v>112</v>
      </c>
      <c r="C54" s="125" t="s">
        <v>10</v>
      </c>
      <c r="D54" s="1" t="s">
        <v>111</v>
      </c>
      <c r="E54" s="9" t="s">
        <v>12</v>
      </c>
      <c r="F54" s="10">
        <v>1</v>
      </c>
      <c r="G54" s="11">
        <v>2008.16</v>
      </c>
      <c r="H54" s="12">
        <f>H12*G54+G54</f>
        <v>2459.393552</v>
      </c>
      <c r="I54" s="13">
        <f>H54*F54</f>
        <v>2459.393552</v>
      </c>
    </row>
    <row r="55" spans="1:9" ht="32.25" customHeight="1">
      <c r="A55" s="69" t="s">
        <v>33</v>
      </c>
      <c r="B55" s="70"/>
      <c r="C55" s="70"/>
      <c r="D55" s="71" t="s">
        <v>113</v>
      </c>
      <c r="E55" s="72"/>
      <c r="F55" s="73"/>
      <c r="G55" s="74"/>
      <c r="H55" s="75"/>
      <c r="I55" s="76">
        <f>SUM(I56:I56)</f>
        <v>3947.2081000000003</v>
      </c>
    </row>
    <row r="56" spans="1:9" s="89" customFormat="1" ht="18" customHeight="1">
      <c r="A56" s="6" t="s">
        <v>34</v>
      </c>
      <c r="B56" s="125" t="s">
        <v>115</v>
      </c>
      <c r="C56" s="29" t="s">
        <v>10</v>
      </c>
      <c r="D56" s="1" t="s">
        <v>114</v>
      </c>
      <c r="E56" s="9" t="s">
        <v>19</v>
      </c>
      <c r="F56" s="42">
        <v>220</v>
      </c>
      <c r="G56" s="43">
        <v>14.65</v>
      </c>
      <c r="H56" s="88">
        <f>G56*H12+G56</f>
        <v>17.941855</v>
      </c>
      <c r="I56" s="44">
        <f>H56*F56</f>
        <v>3947.2081000000003</v>
      </c>
    </row>
    <row r="57" spans="1:9" s="89" customFormat="1" ht="27.75" customHeight="1">
      <c r="A57" s="69" t="s">
        <v>35</v>
      </c>
      <c r="B57" s="70"/>
      <c r="C57" s="70"/>
      <c r="D57" s="71" t="s">
        <v>145</v>
      </c>
      <c r="E57" s="72"/>
      <c r="F57" s="73"/>
      <c r="G57" s="74"/>
      <c r="H57" s="75"/>
      <c r="I57" s="76">
        <f>I58+I74+I80+I85+I89+I92</f>
        <v>192036.33763074753</v>
      </c>
    </row>
    <row r="58" spans="1:9" s="89" customFormat="1" ht="18" customHeight="1">
      <c r="A58" s="69" t="s">
        <v>36</v>
      </c>
      <c r="B58" s="70"/>
      <c r="C58" s="70"/>
      <c r="D58" s="71" t="s">
        <v>146</v>
      </c>
      <c r="E58" s="72"/>
      <c r="F58" s="73"/>
      <c r="G58" s="74"/>
      <c r="H58" s="75"/>
      <c r="I58" s="76">
        <f>I59+I69</f>
        <v>18056.72794096</v>
      </c>
    </row>
    <row r="59" spans="1:11" s="89" customFormat="1" ht="18" customHeight="1">
      <c r="A59" s="69" t="s">
        <v>180</v>
      </c>
      <c r="B59" s="70"/>
      <c r="C59" s="70"/>
      <c r="D59" s="71" t="s">
        <v>45</v>
      </c>
      <c r="E59" s="72"/>
      <c r="F59" s="73"/>
      <c r="G59" s="74"/>
      <c r="H59" s="75"/>
      <c r="I59" s="76">
        <f>SUM(I60:I68)</f>
        <v>15225.4899952</v>
      </c>
      <c r="K59" s="135"/>
    </row>
    <row r="60" spans="1:9" s="89" customFormat="1" ht="18" customHeight="1">
      <c r="A60" s="6" t="s">
        <v>181</v>
      </c>
      <c r="B60" s="125" t="s">
        <v>147</v>
      </c>
      <c r="C60" s="125" t="s">
        <v>10</v>
      </c>
      <c r="D60" s="8" t="s">
        <v>148</v>
      </c>
      <c r="E60" s="121" t="s">
        <v>11</v>
      </c>
      <c r="F60" s="42">
        <f>MEMÓRIA!D36</f>
        <v>64</v>
      </c>
      <c r="G60" s="43">
        <v>1.46</v>
      </c>
      <c r="H60" s="88">
        <f>H12*G60+G60</f>
        <v>1.788062</v>
      </c>
      <c r="I60" s="44">
        <f>H60*F60</f>
        <v>114.435968</v>
      </c>
    </row>
    <row r="61" spans="1:9" s="89" customFormat="1" ht="18" customHeight="1">
      <c r="A61" s="6" t="s">
        <v>182</v>
      </c>
      <c r="B61" s="125" t="s">
        <v>149</v>
      </c>
      <c r="C61" s="125" t="s">
        <v>10</v>
      </c>
      <c r="D61" s="8" t="s">
        <v>150</v>
      </c>
      <c r="E61" s="121" t="s">
        <v>11</v>
      </c>
      <c r="F61" s="42">
        <f>MEMÓRIA!D37</f>
        <v>42</v>
      </c>
      <c r="G61" s="43">
        <v>63.48</v>
      </c>
      <c r="H61" s="88">
        <f>H12*G61+G61</f>
        <v>77.743956</v>
      </c>
      <c r="I61" s="44">
        <f aca="true" t="shared" si="5" ref="I61:I68">H61*F61</f>
        <v>3265.2461519999997</v>
      </c>
    </row>
    <row r="62" spans="1:9" s="89" customFormat="1" ht="32.25" customHeight="1">
      <c r="A62" s="6" t="s">
        <v>183</v>
      </c>
      <c r="B62" s="125" t="s">
        <v>52</v>
      </c>
      <c r="C62" s="125" t="s">
        <v>10</v>
      </c>
      <c r="D62" s="8" t="s">
        <v>46</v>
      </c>
      <c r="E62" s="121" t="s">
        <v>20</v>
      </c>
      <c r="F62" s="42">
        <f>MEMÓRIA!D38</f>
        <v>3.84</v>
      </c>
      <c r="G62" s="43">
        <v>58.41</v>
      </c>
      <c r="H62" s="88">
        <f>G62*H12+G62</f>
        <v>71.534727</v>
      </c>
      <c r="I62" s="44">
        <f t="shared" si="5"/>
        <v>274.69335168</v>
      </c>
    </row>
    <row r="63" spans="1:10" s="89" customFormat="1" ht="29.25" customHeight="1">
      <c r="A63" s="6" t="s">
        <v>184</v>
      </c>
      <c r="B63" s="125">
        <v>101616</v>
      </c>
      <c r="C63" s="125" t="s">
        <v>95</v>
      </c>
      <c r="D63" s="8" t="s">
        <v>151</v>
      </c>
      <c r="E63" s="121" t="s">
        <v>19</v>
      </c>
      <c r="F63" s="42">
        <f>MEMÓRIA!D39</f>
        <v>12.8</v>
      </c>
      <c r="G63" s="43">
        <v>7.07</v>
      </c>
      <c r="H63" s="88">
        <f>G63*H12+G63</f>
        <v>8.658629000000001</v>
      </c>
      <c r="I63" s="44">
        <f t="shared" si="5"/>
        <v>110.83045120000003</v>
      </c>
      <c r="J63" s="135"/>
    </row>
    <row r="64" spans="1:9" s="89" customFormat="1" ht="18" customHeight="1">
      <c r="A64" s="6" t="s">
        <v>185</v>
      </c>
      <c r="B64" s="124" t="s">
        <v>53</v>
      </c>
      <c r="C64" s="125" t="s">
        <v>10</v>
      </c>
      <c r="D64" s="8" t="s">
        <v>47</v>
      </c>
      <c r="E64" s="121" t="s">
        <v>20</v>
      </c>
      <c r="F64" s="42">
        <f>MEMÓRIA!D40</f>
        <v>0.6400000000000001</v>
      </c>
      <c r="G64" s="43">
        <v>171.37</v>
      </c>
      <c r="H64" s="88">
        <f>G64*H12+G64</f>
        <v>209.87683900000002</v>
      </c>
      <c r="I64" s="44">
        <f t="shared" si="5"/>
        <v>134.32117696000003</v>
      </c>
    </row>
    <row r="65" spans="1:9" s="89" customFormat="1" ht="18" customHeight="1">
      <c r="A65" s="6" t="s">
        <v>186</v>
      </c>
      <c r="B65" s="125" t="s">
        <v>56</v>
      </c>
      <c r="C65" s="125" t="s">
        <v>10</v>
      </c>
      <c r="D65" s="8" t="s">
        <v>50</v>
      </c>
      <c r="E65" s="121" t="s">
        <v>19</v>
      </c>
      <c r="F65" s="42">
        <f>MEMÓRIA!D41</f>
        <v>38.4</v>
      </c>
      <c r="G65" s="43">
        <v>98.55</v>
      </c>
      <c r="H65" s="88">
        <f>G65*H12+G65</f>
        <v>120.694185</v>
      </c>
      <c r="I65" s="44">
        <f t="shared" si="5"/>
        <v>4634.656704</v>
      </c>
    </row>
    <row r="66" spans="1:9" s="89" customFormat="1" ht="18" customHeight="1">
      <c r="A66" s="6" t="s">
        <v>187</v>
      </c>
      <c r="B66" s="125" t="s">
        <v>54</v>
      </c>
      <c r="C66" s="125" t="s">
        <v>10</v>
      </c>
      <c r="D66" s="8" t="s">
        <v>152</v>
      </c>
      <c r="E66" s="121" t="s">
        <v>20</v>
      </c>
      <c r="F66" s="42">
        <f>MEMÓRIA!D42</f>
        <v>3.84</v>
      </c>
      <c r="G66" s="43">
        <v>456.42</v>
      </c>
      <c r="H66" s="88">
        <f>G66*H12+G66</f>
        <v>558.977574</v>
      </c>
      <c r="I66" s="44">
        <f t="shared" si="5"/>
        <v>2146.47388416</v>
      </c>
    </row>
    <row r="67" spans="1:9" s="89" customFormat="1" ht="26.25" customHeight="1">
      <c r="A67" s="6" t="s">
        <v>194</v>
      </c>
      <c r="B67" s="125" t="s">
        <v>55</v>
      </c>
      <c r="C67" s="125" t="s">
        <v>10</v>
      </c>
      <c r="D67" s="8" t="s">
        <v>49</v>
      </c>
      <c r="E67" s="121" t="s">
        <v>20</v>
      </c>
      <c r="F67" s="42">
        <f>MEMÓRIA!D43</f>
        <v>3.84</v>
      </c>
      <c r="G67" s="43">
        <v>164.2</v>
      </c>
      <c r="H67" s="88">
        <f>G67*H12+G67</f>
        <v>201.09573999999998</v>
      </c>
      <c r="I67" s="44">
        <f t="shared" si="5"/>
        <v>772.2076415999999</v>
      </c>
    </row>
    <row r="68" spans="1:9" s="89" customFormat="1" ht="18" customHeight="1">
      <c r="A68" s="6" t="s">
        <v>195</v>
      </c>
      <c r="B68" s="125" t="s">
        <v>57</v>
      </c>
      <c r="C68" s="125" t="s">
        <v>10</v>
      </c>
      <c r="D68" s="8" t="s">
        <v>153</v>
      </c>
      <c r="E68" s="128" t="s">
        <v>14</v>
      </c>
      <c r="F68" s="42">
        <f>MEMÓRIA!D44</f>
        <v>268.8</v>
      </c>
      <c r="G68" s="43">
        <v>11.46</v>
      </c>
      <c r="H68" s="88">
        <f>G68*H12+G68</f>
        <v>14.035062000000002</v>
      </c>
      <c r="I68" s="44">
        <f t="shared" si="5"/>
        <v>3772.6246656000008</v>
      </c>
    </row>
    <row r="69" spans="1:9" s="89" customFormat="1" ht="18" customHeight="1">
      <c r="A69" s="69" t="s">
        <v>188</v>
      </c>
      <c r="B69" s="70"/>
      <c r="C69" s="70"/>
      <c r="D69" s="71" t="s">
        <v>154</v>
      </c>
      <c r="E69" s="72"/>
      <c r="F69" s="73"/>
      <c r="G69" s="74"/>
      <c r="H69" s="75"/>
      <c r="I69" s="76">
        <f>SUM(I70:I73)</f>
        <v>2831.2379457600005</v>
      </c>
    </row>
    <row r="70" spans="1:9" s="89" customFormat="1" ht="18" customHeight="1">
      <c r="A70" s="6" t="s">
        <v>196</v>
      </c>
      <c r="B70" s="125" t="s">
        <v>56</v>
      </c>
      <c r="C70" s="125" t="s">
        <v>10</v>
      </c>
      <c r="D70" s="7" t="s">
        <v>50</v>
      </c>
      <c r="E70" s="121" t="s">
        <v>19</v>
      </c>
      <c r="F70" s="130">
        <f>MEMÓRIA!D46</f>
        <v>8.4</v>
      </c>
      <c r="G70" s="43">
        <v>98.55</v>
      </c>
      <c r="H70" s="88">
        <f>G70*H12+G70</f>
        <v>120.694185</v>
      </c>
      <c r="I70" s="44">
        <f aca="true" t="shared" si="6" ref="I70:I73">H70*F70</f>
        <v>1013.8311540000001</v>
      </c>
    </row>
    <row r="71" spans="1:9" s="89" customFormat="1" ht="18" customHeight="1">
      <c r="A71" s="6" t="s">
        <v>197</v>
      </c>
      <c r="B71" s="125" t="s">
        <v>54</v>
      </c>
      <c r="C71" s="125" t="s">
        <v>10</v>
      </c>
      <c r="D71" s="7" t="s">
        <v>152</v>
      </c>
      <c r="E71" s="121" t="s">
        <v>20</v>
      </c>
      <c r="F71" s="130">
        <f>MEMÓRIA!D47</f>
        <v>0.8400000000000002</v>
      </c>
      <c r="G71" s="43">
        <v>456.42</v>
      </c>
      <c r="H71" s="88">
        <f>G71*H12+G71</f>
        <v>558.977574</v>
      </c>
      <c r="I71" s="44">
        <f t="shared" si="6"/>
        <v>469.5411621600001</v>
      </c>
    </row>
    <row r="72" spans="1:9" s="89" customFormat="1" ht="18" customHeight="1">
      <c r="A72" s="6" t="s">
        <v>198</v>
      </c>
      <c r="B72" s="125" t="s">
        <v>55</v>
      </c>
      <c r="C72" s="125" t="s">
        <v>10</v>
      </c>
      <c r="D72" s="7" t="s">
        <v>49</v>
      </c>
      <c r="E72" s="121" t="s">
        <v>20</v>
      </c>
      <c r="F72" s="130">
        <f>MEMÓRIA!D48</f>
        <v>0.8400000000000002</v>
      </c>
      <c r="G72" s="43">
        <v>164.2</v>
      </c>
      <c r="H72" s="88">
        <f>G72*H12+G72</f>
        <v>201.09573999999998</v>
      </c>
      <c r="I72" s="44">
        <f t="shared" si="6"/>
        <v>168.92042160000003</v>
      </c>
    </row>
    <row r="73" spans="1:9" s="89" customFormat="1" ht="18" customHeight="1">
      <c r="A73" s="6" t="s">
        <v>199</v>
      </c>
      <c r="B73" s="125" t="s">
        <v>57</v>
      </c>
      <c r="C73" s="125" t="s">
        <v>10</v>
      </c>
      <c r="D73" s="7" t="s">
        <v>153</v>
      </c>
      <c r="E73" s="128" t="s">
        <v>14</v>
      </c>
      <c r="F73" s="134">
        <f>MEMÓRIA!D49</f>
        <v>84.00000000000001</v>
      </c>
      <c r="G73" s="43">
        <v>11.46</v>
      </c>
      <c r="H73" s="88">
        <f>G73*H12+G73</f>
        <v>14.035062000000002</v>
      </c>
      <c r="I73" s="44">
        <f t="shared" si="6"/>
        <v>1178.9452080000003</v>
      </c>
    </row>
    <row r="74" spans="1:9" s="89" customFormat="1" ht="18" customHeight="1">
      <c r="A74" s="69" t="s">
        <v>37</v>
      </c>
      <c r="B74" s="70"/>
      <c r="C74" s="70"/>
      <c r="D74" s="71" t="s">
        <v>155</v>
      </c>
      <c r="E74" s="72"/>
      <c r="F74" s="73"/>
      <c r="G74" s="74"/>
      <c r="H74" s="75"/>
      <c r="I74" s="76">
        <f>SUM(I75:I79)</f>
        <v>37562.822688</v>
      </c>
    </row>
    <row r="75" spans="1:9" s="89" customFormat="1" ht="30" customHeight="1">
      <c r="A75" s="6" t="s">
        <v>200</v>
      </c>
      <c r="B75" s="128" t="s">
        <v>156</v>
      </c>
      <c r="C75" s="125" t="s">
        <v>10</v>
      </c>
      <c r="D75" s="8" t="s">
        <v>157</v>
      </c>
      <c r="E75" s="128" t="s">
        <v>20</v>
      </c>
      <c r="F75" s="134">
        <f>MEMÓRIA!D51</f>
        <v>144</v>
      </c>
      <c r="G75" s="43">
        <v>17.75</v>
      </c>
      <c r="H75" s="88">
        <f>G75*H12+G75</f>
        <v>21.738425</v>
      </c>
      <c r="I75" s="44">
        <f aca="true" t="shared" si="7" ref="I75:I79">H75*F75</f>
        <v>3130.3332</v>
      </c>
    </row>
    <row r="76" spans="1:9" s="89" customFormat="1" ht="33" customHeight="1">
      <c r="A76" s="6" t="s">
        <v>201</v>
      </c>
      <c r="B76" s="125" t="s">
        <v>93</v>
      </c>
      <c r="C76" s="125" t="s">
        <v>10</v>
      </c>
      <c r="D76" s="131" t="s">
        <v>92</v>
      </c>
      <c r="E76" s="121" t="s">
        <v>19</v>
      </c>
      <c r="F76" s="130">
        <f>MEMÓRIA!D52</f>
        <v>240</v>
      </c>
      <c r="G76" s="43">
        <v>4.09</v>
      </c>
      <c r="H76" s="88">
        <f>G76*H12+G76</f>
        <v>5.009023</v>
      </c>
      <c r="I76" s="44">
        <f t="shared" si="7"/>
        <v>1202.16552</v>
      </c>
    </row>
    <row r="77" spans="1:9" s="89" customFormat="1" ht="18" customHeight="1">
      <c r="A77" s="6" t="s">
        <v>202</v>
      </c>
      <c r="B77" s="125" t="s">
        <v>158</v>
      </c>
      <c r="C77" s="125" t="s">
        <v>10</v>
      </c>
      <c r="D77" s="7" t="s">
        <v>159</v>
      </c>
      <c r="E77" s="121" t="s">
        <v>20</v>
      </c>
      <c r="F77" s="130">
        <f>MEMÓRIA!D53</f>
        <v>12</v>
      </c>
      <c r="G77" s="43">
        <v>240.02</v>
      </c>
      <c r="H77" s="88">
        <f>G77*H12+G77</f>
        <v>293.952494</v>
      </c>
      <c r="I77" s="44">
        <f t="shared" si="7"/>
        <v>3527.429928</v>
      </c>
    </row>
    <row r="78" spans="1:9" s="89" customFormat="1" ht="18" customHeight="1">
      <c r="A78" s="6" t="s">
        <v>203</v>
      </c>
      <c r="B78" s="125" t="s">
        <v>160</v>
      </c>
      <c r="C78" s="125" t="s">
        <v>10</v>
      </c>
      <c r="D78" s="7" t="s">
        <v>161</v>
      </c>
      <c r="E78" s="121" t="s">
        <v>20</v>
      </c>
      <c r="F78" s="130">
        <f>MEMÓRIA!D54</f>
        <v>12</v>
      </c>
      <c r="G78" s="43">
        <v>200.9</v>
      </c>
      <c r="H78" s="88">
        <f>G78*H12+G78</f>
        <v>246.04223000000002</v>
      </c>
      <c r="I78" s="44">
        <f t="shared" si="7"/>
        <v>2952.50676</v>
      </c>
    </row>
    <row r="79" spans="1:9" s="89" customFormat="1" ht="18" customHeight="1">
      <c r="A79" s="6" t="s">
        <v>204</v>
      </c>
      <c r="B79" s="125" t="s">
        <v>162</v>
      </c>
      <c r="C79" s="125" t="s">
        <v>10</v>
      </c>
      <c r="D79" s="7" t="s">
        <v>163</v>
      </c>
      <c r="E79" s="121" t="s">
        <v>20</v>
      </c>
      <c r="F79" s="130">
        <f>MEMÓRIA!D55</f>
        <v>120</v>
      </c>
      <c r="G79" s="43">
        <v>182.02</v>
      </c>
      <c r="H79" s="88">
        <f>G79*H12+G79</f>
        <v>222.919894</v>
      </c>
      <c r="I79" s="44">
        <f t="shared" si="7"/>
        <v>26750.38728</v>
      </c>
    </row>
    <row r="80" spans="1:9" s="89" customFormat="1" ht="18" customHeight="1">
      <c r="A80" s="69" t="s">
        <v>38</v>
      </c>
      <c r="B80" s="70"/>
      <c r="C80" s="70"/>
      <c r="D80" s="71" t="s">
        <v>164</v>
      </c>
      <c r="E80" s="72"/>
      <c r="F80" s="73"/>
      <c r="G80" s="74"/>
      <c r="H80" s="75"/>
      <c r="I80" s="76">
        <f>SUM(I81:I84)</f>
        <v>10066.1620136</v>
      </c>
    </row>
    <row r="81" spans="1:9" s="89" customFormat="1" ht="27" customHeight="1">
      <c r="A81" s="6" t="s">
        <v>205</v>
      </c>
      <c r="B81" s="125" t="s">
        <v>165</v>
      </c>
      <c r="C81" s="125" t="s">
        <v>10</v>
      </c>
      <c r="D81" s="8" t="s">
        <v>166</v>
      </c>
      <c r="E81" s="121" t="s">
        <v>19</v>
      </c>
      <c r="F81" s="130">
        <f>MEMÓRIA!D57</f>
        <v>62.8</v>
      </c>
      <c r="G81" s="43">
        <v>92.26</v>
      </c>
      <c r="H81" s="88">
        <f>G81*H12+G81</f>
        <v>112.99082200000001</v>
      </c>
      <c r="I81" s="44">
        <f aca="true" t="shared" si="8" ref="I81:I83">H81*F81</f>
        <v>7095.8236216000005</v>
      </c>
    </row>
    <row r="82" spans="1:9" s="89" customFormat="1" ht="18" customHeight="1">
      <c r="A82" s="6" t="s">
        <v>206</v>
      </c>
      <c r="B82" s="125" t="s">
        <v>28</v>
      </c>
      <c r="C82" s="125" t="s">
        <v>10</v>
      </c>
      <c r="D82" s="7" t="s">
        <v>26</v>
      </c>
      <c r="E82" s="121" t="s">
        <v>19</v>
      </c>
      <c r="F82" s="130">
        <f>MEMÓRIA!D58</f>
        <v>48.800000000000004</v>
      </c>
      <c r="G82" s="43">
        <v>6.93</v>
      </c>
      <c r="H82" s="88">
        <f>G82*H12+G82</f>
        <v>8.487171</v>
      </c>
      <c r="I82" s="44">
        <f t="shared" si="8"/>
        <v>414.1739448</v>
      </c>
    </row>
    <row r="83" spans="1:9" s="89" customFormat="1" ht="18" customHeight="1">
      <c r="A83" s="6" t="s">
        <v>207</v>
      </c>
      <c r="B83" s="125" t="s">
        <v>29</v>
      </c>
      <c r="C83" s="125" t="s">
        <v>10</v>
      </c>
      <c r="D83" s="7" t="s">
        <v>27</v>
      </c>
      <c r="E83" s="121" t="s">
        <v>19</v>
      </c>
      <c r="F83" s="130">
        <f>MEMÓRIA!D59</f>
        <v>48.800000000000004</v>
      </c>
      <c r="G83" s="43">
        <v>12.83</v>
      </c>
      <c r="H83" s="88">
        <f>G83*H12+G83</f>
        <v>15.712901</v>
      </c>
      <c r="I83" s="44">
        <f t="shared" si="8"/>
        <v>766.7895688000001</v>
      </c>
    </row>
    <row r="84" spans="1:9" s="89" customFormat="1" ht="18" customHeight="1">
      <c r="A84" s="144" t="s">
        <v>358</v>
      </c>
      <c r="B84" s="24" t="s">
        <v>58</v>
      </c>
      <c r="C84" s="29" t="s">
        <v>10</v>
      </c>
      <c r="D84" s="25" t="s">
        <v>96</v>
      </c>
      <c r="E84" s="130" t="s">
        <v>19</v>
      </c>
      <c r="F84" s="130">
        <f>F83</f>
        <v>48.800000000000004</v>
      </c>
      <c r="G84" s="43">
        <v>29.94</v>
      </c>
      <c r="H84" s="88">
        <f>G84*H12+G84</f>
        <v>36.667518</v>
      </c>
      <c r="I84" s="176">
        <f>H84*F84</f>
        <v>1789.3748784000002</v>
      </c>
    </row>
    <row r="85" spans="1:9" s="89" customFormat="1" ht="18" customHeight="1">
      <c r="A85" s="69" t="s">
        <v>39</v>
      </c>
      <c r="B85" s="70"/>
      <c r="C85" s="70"/>
      <c r="D85" s="71" t="s">
        <v>167</v>
      </c>
      <c r="E85" s="72"/>
      <c r="F85" s="73"/>
      <c r="G85" s="74"/>
      <c r="H85" s="75"/>
      <c r="I85" s="76">
        <f>SUM(I86:I88)</f>
        <v>7600.651238187501</v>
      </c>
    </row>
    <row r="86" spans="1:9" s="89" customFormat="1" ht="33.75" customHeight="1">
      <c r="A86" s="6" t="s">
        <v>208</v>
      </c>
      <c r="B86" s="128" t="s">
        <v>168</v>
      </c>
      <c r="C86" s="125" t="s">
        <v>10</v>
      </c>
      <c r="D86" s="131" t="s">
        <v>169</v>
      </c>
      <c r="E86" s="128" t="s">
        <v>11</v>
      </c>
      <c r="F86" s="134">
        <f>MEMÓRIA!D61</f>
        <v>115</v>
      </c>
      <c r="G86" s="43">
        <v>18.44</v>
      </c>
      <c r="H86" s="88">
        <f>G86*H12+G86</f>
        <v>22.583468000000003</v>
      </c>
      <c r="I86" s="44">
        <f aca="true" t="shared" si="9" ref="I86:I88">H86*F86</f>
        <v>2597.0988200000006</v>
      </c>
    </row>
    <row r="87" spans="1:9" s="89" customFormat="1" ht="30.75" customHeight="1">
      <c r="A87" s="6" t="s">
        <v>209</v>
      </c>
      <c r="B87" s="125" t="s">
        <v>170</v>
      </c>
      <c r="C87" s="125" t="s">
        <v>10</v>
      </c>
      <c r="D87" s="8" t="s">
        <v>171</v>
      </c>
      <c r="E87" s="121" t="s">
        <v>19</v>
      </c>
      <c r="F87" s="130">
        <f>MEMÓRIA!D62</f>
        <v>2.5875</v>
      </c>
      <c r="G87" s="43">
        <v>21.35</v>
      </c>
      <c r="H87" s="88">
        <f>G87*H12+G87</f>
        <v>26.147345</v>
      </c>
      <c r="I87" s="44">
        <f t="shared" si="9"/>
        <v>67.65625518750001</v>
      </c>
    </row>
    <row r="88" spans="1:9" s="89" customFormat="1" ht="27.75" customHeight="1">
      <c r="A88" s="6" t="s">
        <v>210</v>
      </c>
      <c r="B88" s="125" t="s">
        <v>52</v>
      </c>
      <c r="C88" s="125" t="s">
        <v>10</v>
      </c>
      <c r="D88" s="8" t="s">
        <v>46</v>
      </c>
      <c r="E88" s="121" t="s">
        <v>20</v>
      </c>
      <c r="F88" s="130">
        <f>MEMÓRIA!D63</f>
        <v>69</v>
      </c>
      <c r="G88" s="43">
        <v>58.41</v>
      </c>
      <c r="H88" s="88">
        <f>G88*H12+G88</f>
        <v>71.534727</v>
      </c>
      <c r="I88" s="44">
        <f t="shared" si="9"/>
        <v>4935.896163</v>
      </c>
    </row>
    <row r="89" spans="1:9" s="89" customFormat="1" ht="15.75" customHeight="1">
      <c r="A89" s="69" t="s">
        <v>40</v>
      </c>
      <c r="B89" s="70"/>
      <c r="C89" s="70"/>
      <c r="D89" s="71" t="s">
        <v>172</v>
      </c>
      <c r="E89" s="72"/>
      <c r="F89" s="73"/>
      <c r="G89" s="74"/>
      <c r="H89" s="75"/>
      <c r="I89" s="76">
        <f>SUM(I90:I91)</f>
        <v>91872.291152</v>
      </c>
    </row>
    <row r="90" spans="1:9" s="89" customFormat="1" ht="30" customHeight="1">
      <c r="A90" s="6" t="s">
        <v>211</v>
      </c>
      <c r="B90" s="125" t="s">
        <v>173</v>
      </c>
      <c r="C90" s="125" t="s">
        <v>10</v>
      </c>
      <c r="D90" s="8" t="s">
        <v>174</v>
      </c>
      <c r="E90" s="128" t="s">
        <v>19</v>
      </c>
      <c r="F90" s="134">
        <f>MEMÓRIA!D65</f>
        <v>250</v>
      </c>
      <c r="G90" s="43">
        <v>280.61</v>
      </c>
      <c r="H90" s="88">
        <f>G90*H12+G90</f>
        <v>343.663067</v>
      </c>
      <c r="I90" s="44">
        <f aca="true" t="shared" si="10" ref="I90:I91">H90*F90</f>
        <v>85915.76675000001</v>
      </c>
    </row>
    <row r="91" spans="1:9" s="89" customFormat="1" ht="31.5" customHeight="1">
      <c r="A91" s="6" t="s">
        <v>212</v>
      </c>
      <c r="B91" s="125" t="s">
        <v>175</v>
      </c>
      <c r="C91" s="125" t="s">
        <v>10</v>
      </c>
      <c r="D91" s="8" t="s">
        <v>176</v>
      </c>
      <c r="E91" s="121" t="s">
        <v>19</v>
      </c>
      <c r="F91" s="130">
        <f>MEMÓRIA!D66</f>
        <v>6</v>
      </c>
      <c r="G91" s="43">
        <v>810.61</v>
      </c>
      <c r="H91" s="88">
        <f>G91*H12+G91</f>
        <v>992.7540670000001</v>
      </c>
      <c r="I91" s="44">
        <f t="shared" si="10"/>
        <v>5956.524402000001</v>
      </c>
    </row>
    <row r="92" spans="1:11" s="89" customFormat="1" ht="21.75" customHeight="1">
      <c r="A92" s="69" t="s">
        <v>41</v>
      </c>
      <c r="B92" s="70"/>
      <c r="C92" s="70"/>
      <c r="D92" s="71" t="s">
        <v>215</v>
      </c>
      <c r="E92" s="72"/>
      <c r="F92" s="73"/>
      <c r="G92" s="74"/>
      <c r="H92" s="75"/>
      <c r="I92" s="76">
        <f>SUM(I93:I96)</f>
        <v>26877.682598</v>
      </c>
      <c r="K92" s="135"/>
    </row>
    <row r="93" spans="1:9" s="89" customFormat="1" ht="31.5" customHeight="1">
      <c r="A93" s="6" t="s">
        <v>216</v>
      </c>
      <c r="B93" s="125" t="s">
        <v>218</v>
      </c>
      <c r="C93" s="125" t="s">
        <v>10</v>
      </c>
      <c r="D93" s="5" t="s">
        <v>233</v>
      </c>
      <c r="E93" s="136">
        <v>4</v>
      </c>
      <c r="F93" s="129" t="s">
        <v>12</v>
      </c>
      <c r="G93" s="43">
        <v>2285.99</v>
      </c>
      <c r="H93" s="88">
        <f>G93*H12+G93</f>
        <v>2799.6519529999996</v>
      </c>
      <c r="I93" s="44">
        <f>H93*E93</f>
        <v>11198.607811999998</v>
      </c>
    </row>
    <row r="94" spans="1:9" s="89" customFormat="1" ht="31.5" customHeight="1">
      <c r="A94" s="6" t="s">
        <v>217</v>
      </c>
      <c r="B94" s="125" t="s">
        <v>219</v>
      </c>
      <c r="C94" s="125" t="s">
        <v>10</v>
      </c>
      <c r="D94" s="3" t="s">
        <v>220</v>
      </c>
      <c r="E94" s="130">
        <v>8</v>
      </c>
      <c r="F94" s="125" t="s">
        <v>12</v>
      </c>
      <c r="G94" s="43">
        <v>1404.3</v>
      </c>
      <c r="H94" s="88">
        <f>G94*H12+G94</f>
        <v>1719.84621</v>
      </c>
      <c r="I94" s="44">
        <f>H94*E94</f>
        <v>13758.76968</v>
      </c>
    </row>
    <row r="95" spans="1:9" s="89" customFormat="1" ht="31.5" customHeight="1">
      <c r="A95" s="6" t="s">
        <v>231</v>
      </c>
      <c r="B95" s="28" t="s">
        <v>227</v>
      </c>
      <c r="C95" s="125" t="s">
        <v>10</v>
      </c>
      <c r="D95" s="45" t="s">
        <v>228</v>
      </c>
      <c r="E95" s="120">
        <v>1</v>
      </c>
      <c r="F95" s="28" t="s">
        <v>12</v>
      </c>
      <c r="G95" s="43">
        <v>764.82</v>
      </c>
      <c r="H95" s="88">
        <f>G95*H12+G95</f>
        <v>936.675054</v>
      </c>
      <c r="I95" s="44">
        <f>H95*E95</f>
        <v>936.675054</v>
      </c>
    </row>
    <row r="96" spans="1:9" s="89" customFormat="1" ht="31.5" customHeight="1">
      <c r="A96" s="6" t="s">
        <v>232</v>
      </c>
      <c r="B96" s="28" t="s">
        <v>229</v>
      </c>
      <c r="C96" s="125" t="s">
        <v>10</v>
      </c>
      <c r="D96" s="45" t="s">
        <v>230</v>
      </c>
      <c r="E96" s="120">
        <v>6</v>
      </c>
      <c r="F96" s="28" t="s">
        <v>12</v>
      </c>
      <c r="G96" s="43">
        <v>133.86</v>
      </c>
      <c r="H96" s="88">
        <f>G96*H12+G96</f>
        <v>163.938342</v>
      </c>
      <c r="I96" s="44">
        <f>H96*E96</f>
        <v>983.630052</v>
      </c>
    </row>
    <row r="97" spans="1:9" s="89" customFormat="1" ht="36" customHeight="1">
      <c r="A97" s="69" t="s">
        <v>42</v>
      </c>
      <c r="B97" s="70"/>
      <c r="C97" s="70"/>
      <c r="D97" s="71" t="s">
        <v>313</v>
      </c>
      <c r="E97" s="72"/>
      <c r="F97" s="73"/>
      <c r="G97" s="74"/>
      <c r="H97" s="75"/>
      <c r="I97" s="76">
        <f>SUM(I98:I104)</f>
        <v>19627.8262713105</v>
      </c>
    </row>
    <row r="98" spans="1:9" s="89" customFormat="1" ht="31.5" customHeight="1">
      <c r="A98" s="144" t="s">
        <v>43</v>
      </c>
      <c r="B98" s="141" t="s">
        <v>52</v>
      </c>
      <c r="C98" s="9" t="s">
        <v>10</v>
      </c>
      <c r="D98" s="8" t="s">
        <v>46</v>
      </c>
      <c r="E98" s="145">
        <f>MEMÓRIA!D68</f>
        <v>1.974</v>
      </c>
      <c r="F98" s="24" t="s">
        <v>20</v>
      </c>
      <c r="G98" s="43">
        <v>58.41</v>
      </c>
      <c r="H98" s="88">
        <f>G98*H12+G98</f>
        <v>71.534727</v>
      </c>
      <c r="I98" s="44">
        <f>H98*E98</f>
        <v>141.20955109800002</v>
      </c>
    </row>
    <row r="99" spans="1:9" s="89" customFormat="1" ht="24" customHeight="1">
      <c r="A99" s="144" t="s">
        <v>238</v>
      </c>
      <c r="B99" s="24" t="s">
        <v>53</v>
      </c>
      <c r="C99" s="9" t="s">
        <v>10</v>
      </c>
      <c r="D99" s="23" t="s">
        <v>47</v>
      </c>
      <c r="E99" s="145">
        <f>MEMÓRIA!D69</f>
        <v>0.4935</v>
      </c>
      <c r="F99" s="24" t="s">
        <v>20</v>
      </c>
      <c r="G99" s="43">
        <v>171.37</v>
      </c>
      <c r="H99" s="88">
        <f>G99*H12+G99</f>
        <v>209.87683900000002</v>
      </c>
      <c r="I99" s="44">
        <f aca="true" t="shared" si="11" ref="I99:I104">H99*E99</f>
        <v>103.5742200465</v>
      </c>
    </row>
    <row r="100" spans="1:9" s="89" customFormat="1" ht="24" customHeight="1">
      <c r="A100" s="144" t="s">
        <v>239</v>
      </c>
      <c r="B100" s="24" t="s">
        <v>54</v>
      </c>
      <c r="C100" s="9" t="s">
        <v>10</v>
      </c>
      <c r="D100" s="23" t="s">
        <v>48</v>
      </c>
      <c r="E100" s="145">
        <f>MEMÓRIA!D70</f>
        <v>5.499</v>
      </c>
      <c r="F100" s="24" t="s">
        <v>20</v>
      </c>
      <c r="G100" s="43">
        <v>456.42</v>
      </c>
      <c r="H100" s="88">
        <f>G100*H12+G100</f>
        <v>558.977574</v>
      </c>
      <c r="I100" s="44">
        <f t="shared" si="11"/>
        <v>3073.817679426</v>
      </c>
    </row>
    <row r="101" spans="1:9" s="89" customFormat="1" ht="27.75" customHeight="1">
      <c r="A101" s="144" t="s">
        <v>240</v>
      </c>
      <c r="B101" s="4" t="s">
        <v>55</v>
      </c>
      <c r="C101" s="9" t="s">
        <v>10</v>
      </c>
      <c r="D101" s="5" t="s">
        <v>49</v>
      </c>
      <c r="E101" s="145">
        <f>MEMÓRIA!D71</f>
        <v>5.499</v>
      </c>
      <c r="F101" s="24" t="s">
        <v>20</v>
      </c>
      <c r="G101" s="43">
        <v>164.2</v>
      </c>
      <c r="H101" s="88">
        <f>G101*H12+G101</f>
        <v>201.09573999999998</v>
      </c>
      <c r="I101" s="44">
        <f t="shared" si="11"/>
        <v>1105.8254742599997</v>
      </c>
    </row>
    <row r="102" spans="1:9" s="89" customFormat="1" ht="24" customHeight="1">
      <c r="A102" s="144" t="s">
        <v>241</v>
      </c>
      <c r="B102" s="24" t="s">
        <v>56</v>
      </c>
      <c r="C102" s="9" t="s">
        <v>10</v>
      </c>
      <c r="D102" s="23" t="s">
        <v>50</v>
      </c>
      <c r="E102" s="145">
        <f>MEMÓRIA!D72</f>
        <v>73.32</v>
      </c>
      <c r="F102" s="24" t="s">
        <v>19</v>
      </c>
      <c r="G102" s="43">
        <v>98.55</v>
      </c>
      <c r="H102" s="88">
        <f>G102*H12+G102</f>
        <v>120.694185</v>
      </c>
      <c r="I102" s="44">
        <f t="shared" si="11"/>
        <v>8849.2976442</v>
      </c>
    </row>
    <row r="103" spans="1:9" s="89" customFormat="1" ht="24" customHeight="1">
      <c r="A103" s="144" t="s">
        <v>242</v>
      </c>
      <c r="B103" s="24" t="s">
        <v>57</v>
      </c>
      <c r="C103" s="9" t="s">
        <v>10</v>
      </c>
      <c r="D103" s="23" t="s">
        <v>51</v>
      </c>
      <c r="E103" s="145">
        <f>MEMÓRIA!D73</f>
        <v>329.94</v>
      </c>
      <c r="F103" s="24" t="s">
        <v>14</v>
      </c>
      <c r="G103" s="43">
        <v>11.46</v>
      </c>
      <c r="H103" s="88">
        <f>G103*H12+G103</f>
        <v>14.035062000000002</v>
      </c>
      <c r="I103" s="44">
        <f t="shared" si="11"/>
        <v>4630.72835628</v>
      </c>
    </row>
    <row r="104" spans="1:9" s="89" customFormat="1" ht="24" customHeight="1">
      <c r="A104" s="144" t="s">
        <v>243</v>
      </c>
      <c r="B104" s="24" t="s">
        <v>58</v>
      </c>
      <c r="C104" s="29" t="s">
        <v>10</v>
      </c>
      <c r="D104" s="25" t="s">
        <v>96</v>
      </c>
      <c r="E104" s="130">
        <f>MEMÓRIA!D74</f>
        <v>47.00000000000001</v>
      </c>
      <c r="F104" s="141" t="s">
        <v>19</v>
      </c>
      <c r="G104" s="43">
        <v>29.94</v>
      </c>
      <c r="H104" s="88">
        <f>G104*H12+G104</f>
        <v>36.667518</v>
      </c>
      <c r="I104" s="44">
        <f t="shared" si="11"/>
        <v>1723.3733460000003</v>
      </c>
    </row>
    <row r="105" spans="1:9" s="89" customFormat="1" ht="24" customHeight="1">
      <c r="A105" s="69" t="s">
        <v>299</v>
      </c>
      <c r="B105" s="70"/>
      <c r="C105" s="70"/>
      <c r="D105" s="71" t="s">
        <v>300</v>
      </c>
      <c r="E105" s="72"/>
      <c r="F105" s="73"/>
      <c r="G105" s="74"/>
      <c r="H105" s="75"/>
      <c r="I105" s="76">
        <f>SUM(I106:I113)</f>
        <v>9995.105409479998</v>
      </c>
    </row>
    <row r="106" spans="1:9" s="89" customFormat="1" ht="36" customHeight="1">
      <c r="A106" s="6" t="s">
        <v>301</v>
      </c>
      <c r="B106" s="148" t="s">
        <v>52</v>
      </c>
      <c r="C106" s="9" t="s">
        <v>10</v>
      </c>
      <c r="D106" s="8" t="s">
        <v>46</v>
      </c>
      <c r="E106" s="145">
        <f>MEMÓRIA!D76</f>
        <v>1</v>
      </c>
      <c r="F106" s="24" t="s">
        <v>20</v>
      </c>
      <c r="G106" s="43">
        <v>58.41</v>
      </c>
      <c r="H106" s="88">
        <f>G106*H12+G106</f>
        <v>71.534727</v>
      </c>
      <c r="I106" s="44">
        <f>H106*E106</f>
        <v>71.534727</v>
      </c>
    </row>
    <row r="107" spans="1:9" s="89" customFormat="1" ht="24" customHeight="1">
      <c r="A107" s="6" t="s">
        <v>302</v>
      </c>
      <c r="B107" s="24" t="s">
        <v>54</v>
      </c>
      <c r="C107" s="9" t="s">
        <v>10</v>
      </c>
      <c r="D107" s="23" t="s">
        <v>48</v>
      </c>
      <c r="E107" s="145">
        <f>MEMÓRIA!D77</f>
        <v>1</v>
      </c>
      <c r="F107" s="24" t="s">
        <v>20</v>
      </c>
      <c r="G107" s="43">
        <v>456.42</v>
      </c>
      <c r="H107" s="88">
        <f>G107*H12+G107</f>
        <v>558.977574</v>
      </c>
      <c r="I107" s="44">
        <f aca="true" t="shared" si="12" ref="I107:I113">H107*E107</f>
        <v>558.977574</v>
      </c>
    </row>
    <row r="108" spans="1:9" s="89" customFormat="1" ht="36.75" customHeight="1">
      <c r="A108" s="6" t="s">
        <v>303</v>
      </c>
      <c r="B108" s="148" t="s">
        <v>55</v>
      </c>
      <c r="C108" s="9" t="s">
        <v>10</v>
      </c>
      <c r="D108" s="5" t="s">
        <v>49</v>
      </c>
      <c r="E108" s="145">
        <f>MEMÓRIA!D78</f>
        <v>1</v>
      </c>
      <c r="F108" s="24" t="s">
        <v>20</v>
      </c>
      <c r="G108" s="43">
        <v>164.2</v>
      </c>
      <c r="H108" s="88">
        <f>G108*H12+G108</f>
        <v>201.09573999999998</v>
      </c>
      <c r="I108" s="44">
        <f t="shared" si="12"/>
        <v>201.09573999999998</v>
      </c>
    </row>
    <row r="109" spans="1:9" s="89" customFormat="1" ht="32.25" customHeight="1">
      <c r="A109" s="6" t="s">
        <v>304</v>
      </c>
      <c r="B109" s="148">
        <v>35276</v>
      </c>
      <c r="C109" s="87" t="s">
        <v>291</v>
      </c>
      <c r="D109" s="3" t="s">
        <v>292</v>
      </c>
      <c r="E109" s="171">
        <f>MEMÓRIA!D79</f>
        <v>14</v>
      </c>
      <c r="F109" s="20" t="s">
        <v>11</v>
      </c>
      <c r="G109" s="43">
        <v>222.65</v>
      </c>
      <c r="H109" s="88">
        <f>G109*H12+G109</f>
        <v>272.679455</v>
      </c>
      <c r="I109" s="44">
        <f t="shared" si="12"/>
        <v>3817.5123700000004</v>
      </c>
    </row>
    <row r="110" spans="1:9" s="89" customFormat="1" ht="37.5" customHeight="1">
      <c r="A110" s="6" t="s">
        <v>305</v>
      </c>
      <c r="B110" s="148">
        <v>35272</v>
      </c>
      <c r="C110" s="87" t="s">
        <v>291</v>
      </c>
      <c r="D110" s="3" t="s">
        <v>293</v>
      </c>
      <c r="E110" s="10">
        <f>MEMÓRIA!D80</f>
        <v>4.8</v>
      </c>
      <c r="F110" s="9" t="s">
        <v>11</v>
      </c>
      <c r="G110" s="43">
        <v>60.5</v>
      </c>
      <c r="H110" s="88">
        <f>G110*H12+G110</f>
        <v>74.09435</v>
      </c>
      <c r="I110" s="44">
        <f t="shared" si="12"/>
        <v>355.65288000000004</v>
      </c>
    </row>
    <row r="111" spans="1:9" s="89" customFormat="1" ht="38.25" customHeight="1">
      <c r="A111" s="6" t="s">
        <v>306</v>
      </c>
      <c r="B111" s="148">
        <v>4472</v>
      </c>
      <c r="C111" s="87" t="s">
        <v>291</v>
      </c>
      <c r="D111" s="3" t="s">
        <v>294</v>
      </c>
      <c r="E111" s="171">
        <f>MEMÓRIA!D81</f>
        <v>45.5</v>
      </c>
      <c r="F111" s="20" t="s">
        <v>11</v>
      </c>
      <c r="G111" s="43">
        <v>41.85</v>
      </c>
      <c r="H111" s="88">
        <f>G111*H12+G111</f>
        <v>51.253695</v>
      </c>
      <c r="I111" s="44">
        <f t="shared" si="12"/>
        <v>2332.0431225</v>
      </c>
    </row>
    <row r="112" spans="1:9" s="89" customFormat="1" ht="37.5" customHeight="1">
      <c r="A112" s="6" t="s">
        <v>307</v>
      </c>
      <c r="B112" s="148" t="s">
        <v>295</v>
      </c>
      <c r="C112" s="148" t="s">
        <v>10</v>
      </c>
      <c r="D112" s="3" t="s">
        <v>296</v>
      </c>
      <c r="E112" s="171">
        <f>MEMÓRIA!D82</f>
        <v>64.3</v>
      </c>
      <c r="F112" s="20" t="s">
        <v>11</v>
      </c>
      <c r="G112" s="43">
        <v>16.36</v>
      </c>
      <c r="H112" s="88">
        <f>G112*H12+G112</f>
        <v>20.036092</v>
      </c>
      <c r="I112" s="44">
        <f t="shared" si="12"/>
        <v>1288.3207155999999</v>
      </c>
    </row>
    <row r="113" spans="1:9" s="89" customFormat="1" ht="19.5" customHeight="1">
      <c r="A113" s="6" t="s">
        <v>308</v>
      </c>
      <c r="B113" s="148" t="s">
        <v>297</v>
      </c>
      <c r="C113" s="148" t="s">
        <v>10</v>
      </c>
      <c r="D113" s="5" t="s">
        <v>298</v>
      </c>
      <c r="E113" s="171">
        <f>MEMÓRIA!D83</f>
        <v>41.019999999999996</v>
      </c>
      <c r="F113" s="20" t="s">
        <v>11</v>
      </c>
      <c r="G113" s="43">
        <v>27.27</v>
      </c>
      <c r="H113" s="88">
        <f>G113*H12+G113</f>
        <v>33.397569</v>
      </c>
      <c r="I113" s="44">
        <f t="shared" si="12"/>
        <v>1369.9682803799997</v>
      </c>
    </row>
    <row r="114" spans="1:9" s="89" customFormat="1" ht="24" customHeight="1">
      <c r="A114" s="69" t="s">
        <v>311</v>
      </c>
      <c r="B114" s="70"/>
      <c r="C114" s="70"/>
      <c r="D114" s="71" t="s">
        <v>312</v>
      </c>
      <c r="E114" s="72"/>
      <c r="F114" s="73"/>
      <c r="G114" s="74"/>
      <c r="H114" s="75"/>
      <c r="I114" s="76">
        <f>I115+I124+I129</f>
        <v>56837.027728017005</v>
      </c>
    </row>
    <row r="115" spans="1:9" s="89" customFormat="1" ht="24" customHeight="1">
      <c r="A115" s="69" t="s">
        <v>326</v>
      </c>
      <c r="B115" s="70"/>
      <c r="C115" s="70"/>
      <c r="D115" s="71" t="s">
        <v>45</v>
      </c>
      <c r="E115" s="72"/>
      <c r="F115" s="73"/>
      <c r="G115" s="74"/>
      <c r="H115" s="75"/>
      <c r="I115" s="76">
        <f>SUM(I116:I123)</f>
        <v>15969.401665873</v>
      </c>
    </row>
    <row r="116" spans="1:9" s="89" customFormat="1" ht="24" customHeight="1">
      <c r="A116" s="6" t="s">
        <v>359</v>
      </c>
      <c r="B116" s="148" t="s">
        <v>149</v>
      </c>
      <c r="C116" s="148" t="s">
        <v>10</v>
      </c>
      <c r="D116" s="8" t="s">
        <v>150</v>
      </c>
      <c r="E116" s="148" t="s">
        <v>11</v>
      </c>
      <c r="F116" s="42">
        <f>MEMÓRIA!D86</f>
        <v>56</v>
      </c>
      <c r="G116" s="43">
        <v>63.48</v>
      </c>
      <c r="H116" s="88">
        <f>G116*H12+G116</f>
        <v>77.743956</v>
      </c>
      <c r="I116" s="44">
        <f aca="true" t="shared" si="13" ref="I116:I132">H116*F116</f>
        <v>4353.661536</v>
      </c>
    </row>
    <row r="117" spans="1:9" s="89" customFormat="1" ht="29.25" customHeight="1">
      <c r="A117" s="6" t="s">
        <v>360</v>
      </c>
      <c r="B117" s="148" t="s">
        <v>52</v>
      </c>
      <c r="C117" s="148" t="s">
        <v>10</v>
      </c>
      <c r="D117" s="8" t="s">
        <v>46</v>
      </c>
      <c r="E117" s="148" t="s">
        <v>20</v>
      </c>
      <c r="F117" s="42">
        <f>MEMÓRIA!D87</f>
        <v>3.3132</v>
      </c>
      <c r="G117" s="43">
        <v>58.41</v>
      </c>
      <c r="H117" s="88">
        <f>G117*H12+G117</f>
        <v>71.534727</v>
      </c>
      <c r="I117" s="44">
        <f t="shared" si="13"/>
        <v>237.00885749640003</v>
      </c>
    </row>
    <row r="118" spans="1:9" s="89" customFormat="1" ht="33.75" customHeight="1">
      <c r="A118" s="6" t="s">
        <v>363</v>
      </c>
      <c r="B118" s="148">
        <v>101616</v>
      </c>
      <c r="C118" s="148" t="s">
        <v>95</v>
      </c>
      <c r="D118" s="8" t="s">
        <v>151</v>
      </c>
      <c r="E118" s="148" t="s">
        <v>19</v>
      </c>
      <c r="F118" s="42">
        <f>MEMÓRIA!D88</f>
        <v>11.044</v>
      </c>
      <c r="G118" s="43">
        <v>7.07</v>
      </c>
      <c r="H118" s="88">
        <f>G118*H12+G118</f>
        <v>8.658629000000001</v>
      </c>
      <c r="I118" s="44">
        <f t="shared" si="13"/>
        <v>95.62589867600002</v>
      </c>
    </row>
    <row r="119" spans="1:9" s="89" customFormat="1" ht="24" customHeight="1">
      <c r="A119" s="6" t="s">
        <v>364</v>
      </c>
      <c r="B119" s="149" t="s">
        <v>53</v>
      </c>
      <c r="C119" s="148" t="s">
        <v>10</v>
      </c>
      <c r="D119" s="8" t="s">
        <v>47</v>
      </c>
      <c r="E119" s="148" t="s">
        <v>20</v>
      </c>
      <c r="F119" s="42">
        <f>MEMÓRIA!D89</f>
        <v>0.5522</v>
      </c>
      <c r="G119" s="43">
        <v>171.37</v>
      </c>
      <c r="H119" s="88">
        <f>G119*H12+G119</f>
        <v>209.87683900000002</v>
      </c>
      <c r="I119" s="44">
        <f t="shared" si="13"/>
        <v>115.89399049580001</v>
      </c>
    </row>
    <row r="120" spans="1:9" s="89" customFormat="1" ht="24" customHeight="1">
      <c r="A120" s="6" t="s">
        <v>365</v>
      </c>
      <c r="B120" s="148" t="s">
        <v>56</v>
      </c>
      <c r="C120" s="148" t="s">
        <v>10</v>
      </c>
      <c r="D120" s="8" t="s">
        <v>50</v>
      </c>
      <c r="E120" s="148" t="s">
        <v>19</v>
      </c>
      <c r="F120" s="42">
        <f>MEMÓRIA!D90</f>
        <v>33.132</v>
      </c>
      <c r="G120" s="43">
        <v>98.55</v>
      </c>
      <c r="H120" s="88">
        <f>G120*H12+G120</f>
        <v>120.694185</v>
      </c>
      <c r="I120" s="44">
        <f t="shared" si="13"/>
        <v>3998.83973742</v>
      </c>
    </row>
    <row r="121" spans="1:9" s="89" customFormat="1" ht="24" customHeight="1">
      <c r="A121" s="6" t="s">
        <v>362</v>
      </c>
      <c r="B121" s="148" t="s">
        <v>54</v>
      </c>
      <c r="C121" s="148" t="s">
        <v>10</v>
      </c>
      <c r="D121" s="8" t="s">
        <v>152</v>
      </c>
      <c r="E121" s="148" t="s">
        <v>20</v>
      </c>
      <c r="F121" s="42">
        <f>MEMÓRIA!D91</f>
        <v>3.3132</v>
      </c>
      <c r="G121" s="43">
        <v>456.42</v>
      </c>
      <c r="H121" s="88">
        <f>G121*H12+G121</f>
        <v>558.977574</v>
      </c>
      <c r="I121" s="44">
        <f t="shared" si="13"/>
        <v>1852.0044981768</v>
      </c>
    </row>
    <row r="122" spans="1:9" s="89" customFormat="1" ht="28.5" customHeight="1">
      <c r="A122" s="6" t="s">
        <v>366</v>
      </c>
      <c r="B122" s="148" t="s">
        <v>55</v>
      </c>
      <c r="C122" s="148" t="s">
        <v>10</v>
      </c>
      <c r="D122" s="8" t="s">
        <v>49</v>
      </c>
      <c r="E122" s="148" t="s">
        <v>20</v>
      </c>
      <c r="F122" s="42">
        <f>MEMÓRIA!D92</f>
        <v>3.3132</v>
      </c>
      <c r="G122" s="43">
        <v>164.2</v>
      </c>
      <c r="H122" s="88">
        <f>G122*H12+G122</f>
        <v>201.09573999999998</v>
      </c>
      <c r="I122" s="44">
        <f t="shared" si="13"/>
        <v>666.2704057679999</v>
      </c>
    </row>
    <row r="123" spans="1:9" s="89" customFormat="1" ht="24" customHeight="1">
      <c r="A123" s="6" t="s">
        <v>361</v>
      </c>
      <c r="B123" s="148" t="s">
        <v>57</v>
      </c>
      <c r="C123" s="148" t="s">
        <v>10</v>
      </c>
      <c r="D123" s="8" t="s">
        <v>153</v>
      </c>
      <c r="E123" s="128" t="s">
        <v>14</v>
      </c>
      <c r="F123" s="42">
        <f>MEMÓRIA!D93</f>
        <v>331.32</v>
      </c>
      <c r="G123" s="43">
        <v>11.46</v>
      </c>
      <c r="H123" s="88">
        <f>G123*H12+G123</f>
        <v>14.035062000000002</v>
      </c>
      <c r="I123" s="44">
        <f t="shared" si="13"/>
        <v>4650.0967418400005</v>
      </c>
    </row>
    <row r="124" spans="1:9" s="89" customFormat="1" ht="24" customHeight="1">
      <c r="A124" s="69" t="s">
        <v>327</v>
      </c>
      <c r="B124" s="70"/>
      <c r="C124" s="70"/>
      <c r="D124" s="71" t="s">
        <v>154</v>
      </c>
      <c r="E124" s="72"/>
      <c r="F124" s="73"/>
      <c r="G124" s="74"/>
      <c r="H124" s="75"/>
      <c r="I124" s="76">
        <f>SUM(I125:I128)</f>
        <v>8304.964640896002</v>
      </c>
    </row>
    <row r="125" spans="1:9" s="89" customFormat="1" ht="24" customHeight="1">
      <c r="A125" s="137" t="s">
        <v>367</v>
      </c>
      <c r="B125" s="148" t="s">
        <v>56</v>
      </c>
      <c r="C125" s="148" t="s">
        <v>10</v>
      </c>
      <c r="D125" s="7" t="s">
        <v>50</v>
      </c>
      <c r="E125" s="148" t="s">
        <v>19</v>
      </c>
      <c r="F125" s="130">
        <f>MEMÓRIA!D95</f>
        <v>24.640000000000004</v>
      </c>
      <c r="G125" s="43">
        <v>98.55</v>
      </c>
      <c r="H125" s="88">
        <f>G125*H12+G125</f>
        <v>120.694185</v>
      </c>
      <c r="I125" s="44">
        <f aca="true" t="shared" si="14" ref="I125:I128">H125*F125</f>
        <v>2973.9047184000005</v>
      </c>
    </row>
    <row r="126" spans="1:9" s="89" customFormat="1" ht="24" customHeight="1">
      <c r="A126" s="137" t="s">
        <v>368</v>
      </c>
      <c r="B126" s="148" t="s">
        <v>54</v>
      </c>
      <c r="C126" s="148" t="s">
        <v>10</v>
      </c>
      <c r="D126" s="7" t="s">
        <v>152</v>
      </c>
      <c r="E126" s="148" t="s">
        <v>20</v>
      </c>
      <c r="F126" s="130">
        <f>MEMÓRIA!D96</f>
        <v>2.4640000000000004</v>
      </c>
      <c r="G126" s="43">
        <v>456.42</v>
      </c>
      <c r="H126" s="88">
        <f>G126*H12+G126</f>
        <v>558.977574</v>
      </c>
      <c r="I126" s="44">
        <f t="shared" si="14"/>
        <v>1377.3207423360002</v>
      </c>
    </row>
    <row r="127" spans="1:9" s="89" customFormat="1" ht="24" customHeight="1">
      <c r="A127" s="137" t="s">
        <v>369</v>
      </c>
      <c r="B127" s="148" t="s">
        <v>55</v>
      </c>
      <c r="C127" s="148" t="s">
        <v>10</v>
      </c>
      <c r="D127" s="7" t="s">
        <v>49</v>
      </c>
      <c r="E127" s="148" t="s">
        <v>20</v>
      </c>
      <c r="F127" s="130">
        <f>MEMÓRIA!D97</f>
        <v>2.4640000000000004</v>
      </c>
      <c r="G127" s="43">
        <v>164.2</v>
      </c>
      <c r="H127" s="88">
        <f>G127*H12+G127</f>
        <v>201.09573999999998</v>
      </c>
      <c r="I127" s="44">
        <f t="shared" si="14"/>
        <v>495.49990336</v>
      </c>
    </row>
    <row r="128" spans="1:9" s="89" customFormat="1" ht="24" customHeight="1">
      <c r="A128" s="137" t="s">
        <v>370</v>
      </c>
      <c r="B128" s="148" t="s">
        <v>57</v>
      </c>
      <c r="C128" s="148" t="s">
        <v>10</v>
      </c>
      <c r="D128" s="7" t="s">
        <v>153</v>
      </c>
      <c r="E128" s="128" t="s">
        <v>14</v>
      </c>
      <c r="F128" s="134">
        <f>MEMÓRIA!D98</f>
        <v>246.40000000000003</v>
      </c>
      <c r="G128" s="43">
        <v>11.46</v>
      </c>
      <c r="H128" s="88">
        <f>G128*H12+G128</f>
        <v>14.035062000000002</v>
      </c>
      <c r="I128" s="44">
        <f t="shared" si="14"/>
        <v>3458.239276800001</v>
      </c>
    </row>
    <row r="129" spans="1:9" s="89" customFormat="1" ht="24" customHeight="1">
      <c r="A129" s="69" t="s">
        <v>328</v>
      </c>
      <c r="B129" s="70"/>
      <c r="C129" s="70"/>
      <c r="D129" s="71" t="s">
        <v>329</v>
      </c>
      <c r="E129" s="72"/>
      <c r="F129" s="73"/>
      <c r="G129" s="74"/>
      <c r="H129" s="75"/>
      <c r="I129" s="76">
        <f>SUM(I130:I133)</f>
        <v>32562.661421248005</v>
      </c>
    </row>
    <row r="130" spans="1:9" s="89" customFormat="1" ht="29.25" customHeight="1">
      <c r="A130" s="6" t="s">
        <v>371</v>
      </c>
      <c r="B130" s="148" t="s">
        <v>165</v>
      </c>
      <c r="C130" s="148" t="s">
        <v>10</v>
      </c>
      <c r="D130" s="8" t="s">
        <v>166</v>
      </c>
      <c r="E130" s="148" t="s">
        <v>19</v>
      </c>
      <c r="F130" s="130">
        <f>MEMÓRIA!D100</f>
        <v>121.48400000000001</v>
      </c>
      <c r="G130" s="43">
        <v>92.26</v>
      </c>
      <c r="H130" s="88">
        <f>G130*H12+G130</f>
        <v>112.99082200000001</v>
      </c>
      <c r="I130" s="44">
        <f t="shared" si="13"/>
        <v>13726.577019848002</v>
      </c>
    </row>
    <row r="131" spans="1:9" s="89" customFormat="1" ht="24" customHeight="1">
      <c r="A131" s="6" t="s">
        <v>372</v>
      </c>
      <c r="B131" s="148" t="s">
        <v>28</v>
      </c>
      <c r="C131" s="148" t="s">
        <v>10</v>
      </c>
      <c r="D131" s="7" t="s">
        <v>26</v>
      </c>
      <c r="E131" s="148" t="s">
        <v>19</v>
      </c>
      <c r="F131" s="130">
        <f>MEMÓRIA!D101</f>
        <v>309.46000000000004</v>
      </c>
      <c r="G131" s="43">
        <v>6.93</v>
      </c>
      <c r="H131" s="88">
        <f>G131*H12+G131</f>
        <v>8.487171</v>
      </c>
      <c r="I131" s="44">
        <f t="shared" si="13"/>
        <v>2626.4399376600004</v>
      </c>
    </row>
    <row r="132" spans="1:9" s="89" customFormat="1" ht="24" customHeight="1">
      <c r="A132" s="6" t="s">
        <v>373</v>
      </c>
      <c r="B132" s="148" t="s">
        <v>29</v>
      </c>
      <c r="C132" s="148" t="s">
        <v>10</v>
      </c>
      <c r="D132" s="7" t="s">
        <v>27</v>
      </c>
      <c r="E132" s="148" t="s">
        <v>19</v>
      </c>
      <c r="F132" s="130">
        <f>MEMÓRIA!D102</f>
        <v>309.46000000000004</v>
      </c>
      <c r="G132" s="43">
        <v>12.83</v>
      </c>
      <c r="H132" s="88">
        <f>G132*H12+G132</f>
        <v>15.712901</v>
      </c>
      <c r="I132" s="44">
        <f t="shared" si="13"/>
        <v>4862.51434346</v>
      </c>
    </row>
    <row r="133" spans="1:9" s="89" customFormat="1" ht="24" customHeight="1">
      <c r="A133" s="144" t="s">
        <v>374</v>
      </c>
      <c r="B133" s="24" t="s">
        <v>58</v>
      </c>
      <c r="C133" s="29" t="s">
        <v>10</v>
      </c>
      <c r="D133" s="25" t="s">
        <v>96</v>
      </c>
      <c r="E133" s="130" t="s">
        <v>19</v>
      </c>
      <c r="F133" s="130">
        <f>F132</f>
        <v>309.46000000000004</v>
      </c>
      <c r="G133" s="43">
        <v>29.94</v>
      </c>
      <c r="H133" s="88">
        <f>G133*H12+G133</f>
        <v>36.667518</v>
      </c>
      <c r="I133" s="44">
        <f>H133*F133</f>
        <v>11347.130120280002</v>
      </c>
    </row>
    <row r="134" spans="1:9" s="89" customFormat="1" ht="24" customHeight="1">
      <c r="A134" s="69" t="s">
        <v>333</v>
      </c>
      <c r="B134" s="70"/>
      <c r="C134" s="70"/>
      <c r="D134" s="71" t="s">
        <v>334</v>
      </c>
      <c r="E134" s="72"/>
      <c r="F134" s="73"/>
      <c r="G134" s="74"/>
      <c r="H134" s="75"/>
      <c r="I134" s="76">
        <f>I135+I144+I149</f>
        <v>19157.51450954</v>
      </c>
    </row>
    <row r="135" spans="1:9" s="89" customFormat="1" ht="24" customHeight="1">
      <c r="A135" s="69" t="s">
        <v>335</v>
      </c>
      <c r="B135" s="70"/>
      <c r="C135" s="70"/>
      <c r="D135" s="71" t="s">
        <v>45</v>
      </c>
      <c r="E135" s="72"/>
      <c r="F135" s="73"/>
      <c r="G135" s="74"/>
      <c r="H135" s="75"/>
      <c r="I135" s="76">
        <f>SUM(I136:I143)</f>
        <v>6338.1519443</v>
      </c>
    </row>
    <row r="136" spans="1:9" s="89" customFormat="1" ht="24" customHeight="1">
      <c r="A136" s="6" t="s">
        <v>375</v>
      </c>
      <c r="B136" s="148" t="s">
        <v>149</v>
      </c>
      <c r="C136" s="148" t="s">
        <v>10</v>
      </c>
      <c r="D136" s="8" t="s">
        <v>150</v>
      </c>
      <c r="E136" s="148" t="s">
        <v>11</v>
      </c>
      <c r="F136" s="42">
        <f>MEMÓRIA!D105</f>
        <v>22</v>
      </c>
      <c r="G136" s="43">
        <v>63.48</v>
      </c>
      <c r="H136" s="88">
        <f>G136*H12+G136</f>
        <v>77.743956</v>
      </c>
      <c r="I136" s="44">
        <f aca="true" t="shared" si="15" ref="I136:I143">H136*F136</f>
        <v>1710.3670319999999</v>
      </c>
    </row>
    <row r="137" spans="1:9" s="89" customFormat="1" ht="34.5" customHeight="1">
      <c r="A137" s="6" t="s">
        <v>376</v>
      </c>
      <c r="B137" s="148" t="s">
        <v>52</v>
      </c>
      <c r="C137" s="148" t="s">
        <v>10</v>
      </c>
      <c r="D137" s="8" t="s">
        <v>46</v>
      </c>
      <c r="E137" s="148" t="s">
        <v>20</v>
      </c>
      <c r="F137" s="42">
        <f>MEMÓRIA!D106</f>
        <v>1.32</v>
      </c>
      <c r="G137" s="43">
        <v>58.41</v>
      </c>
      <c r="H137" s="88">
        <f>G137*H12+G137</f>
        <v>71.534727</v>
      </c>
      <c r="I137" s="44">
        <f t="shared" si="15"/>
        <v>94.42583964</v>
      </c>
    </row>
    <row r="138" spans="1:9" s="89" customFormat="1" ht="32.25" customHeight="1">
      <c r="A138" s="6" t="s">
        <v>377</v>
      </c>
      <c r="B138" s="148">
        <v>101616</v>
      </c>
      <c r="C138" s="148" t="s">
        <v>95</v>
      </c>
      <c r="D138" s="8" t="s">
        <v>151</v>
      </c>
      <c r="E138" s="148" t="s">
        <v>19</v>
      </c>
      <c r="F138" s="42">
        <f>MEMÓRIA!D107</f>
        <v>4.4</v>
      </c>
      <c r="G138" s="43">
        <v>7.07</v>
      </c>
      <c r="H138" s="88">
        <f>G138*H12+G138</f>
        <v>8.658629000000001</v>
      </c>
      <c r="I138" s="44">
        <f t="shared" si="15"/>
        <v>38.09796760000001</v>
      </c>
    </row>
    <row r="139" spans="1:9" s="89" customFormat="1" ht="24" customHeight="1">
      <c r="A139" s="6" t="s">
        <v>378</v>
      </c>
      <c r="B139" s="158" t="s">
        <v>53</v>
      </c>
      <c r="C139" s="148" t="s">
        <v>10</v>
      </c>
      <c r="D139" s="8" t="s">
        <v>47</v>
      </c>
      <c r="E139" s="148" t="s">
        <v>20</v>
      </c>
      <c r="F139" s="42">
        <f>MEMÓRIA!D108</f>
        <v>0.22000000000000003</v>
      </c>
      <c r="G139" s="43">
        <v>171.37</v>
      </c>
      <c r="H139" s="88">
        <f>G139*H12+G139</f>
        <v>209.87683900000002</v>
      </c>
      <c r="I139" s="44">
        <f t="shared" si="15"/>
        <v>46.17290458000001</v>
      </c>
    </row>
    <row r="140" spans="1:9" s="89" customFormat="1" ht="24" customHeight="1">
      <c r="A140" s="6" t="s">
        <v>380</v>
      </c>
      <c r="B140" s="148" t="s">
        <v>56</v>
      </c>
      <c r="C140" s="148" t="s">
        <v>10</v>
      </c>
      <c r="D140" s="8" t="s">
        <v>50</v>
      </c>
      <c r="E140" s="148" t="s">
        <v>19</v>
      </c>
      <c r="F140" s="42">
        <f>MEMÓRIA!D109</f>
        <v>13.2</v>
      </c>
      <c r="G140" s="43">
        <v>98.55</v>
      </c>
      <c r="H140" s="88">
        <f>G140*H12+G140</f>
        <v>120.694185</v>
      </c>
      <c r="I140" s="44">
        <f t="shared" si="15"/>
        <v>1593.163242</v>
      </c>
    </row>
    <row r="141" spans="1:9" s="89" customFormat="1" ht="24" customHeight="1">
      <c r="A141" s="6" t="s">
        <v>381</v>
      </c>
      <c r="B141" s="148" t="s">
        <v>54</v>
      </c>
      <c r="C141" s="148" t="s">
        <v>10</v>
      </c>
      <c r="D141" s="8" t="s">
        <v>152</v>
      </c>
      <c r="E141" s="148" t="s">
        <v>20</v>
      </c>
      <c r="F141" s="42">
        <f>MEMÓRIA!D110</f>
        <v>1.32</v>
      </c>
      <c r="G141" s="43">
        <v>456.42</v>
      </c>
      <c r="H141" s="88">
        <f>G141*H12+G141</f>
        <v>558.977574</v>
      </c>
      <c r="I141" s="44">
        <f t="shared" si="15"/>
        <v>737.85039768</v>
      </c>
    </row>
    <row r="142" spans="1:9" s="89" customFormat="1" ht="28.5" customHeight="1">
      <c r="A142" s="6" t="s">
        <v>379</v>
      </c>
      <c r="B142" s="148" t="s">
        <v>55</v>
      </c>
      <c r="C142" s="148" t="s">
        <v>10</v>
      </c>
      <c r="D142" s="8" t="s">
        <v>49</v>
      </c>
      <c r="E142" s="148" t="s">
        <v>20</v>
      </c>
      <c r="F142" s="42">
        <f>MEMÓRIA!D111</f>
        <v>1.32</v>
      </c>
      <c r="G142" s="43">
        <v>164.2</v>
      </c>
      <c r="H142" s="88">
        <f>G142*H12+G142</f>
        <v>201.09573999999998</v>
      </c>
      <c r="I142" s="44">
        <f t="shared" si="15"/>
        <v>265.4463768</v>
      </c>
    </row>
    <row r="143" spans="1:9" s="89" customFormat="1" ht="24" customHeight="1">
      <c r="A143" s="6" t="s">
        <v>382</v>
      </c>
      <c r="B143" s="148" t="s">
        <v>57</v>
      </c>
      <c r="C143" s="148" t="s">
        <v>10</v>
      </c>
      <c r="D143" s="8" t="s">
        <v>153</v>
      </c>
      <c r="E143" s="128" t="s">
        <v>14</v>
      </c>
      <c r="F143" s="42">
        <f>MEMÓRIA!D112</f>
        <v>132</v>
      </c>
      <c r="G143" s="43">
        <v>11.46</v>
      </c>
      <c r="H143" s="88">
        <f>G143*H12+G143</f>
        <v>14.035062000000002</v>
      </c>
      <c r="I143" s="44">
        <f t="shared" si="15"/>
        <v>1852.6281840000001</v>
      </c>
    </row>
    <row r="144" spans="1:9" s="89" customFormat="1" ht="24" customHeight="1">
      <c r="A144" s="69" t="s">
        <v>336</v>
      </c>
      <c r="B144" s="70"/>
      <c r="C144" s="70"/>
      <c r="D144" s="71" t="s">
        <v>154</v>
      </c>
      <c r="E144" s="72"/>
      <c r="F144" s="73"/>
      <c r="G144" s="74"/>
      <c r="H144" s="75"/>
      <c r="I144" s="76">
        <f>SUM(I145:I148)</f>
        <v>2224.5441002400003</v>
      </c>
    </row>
    <row r="145" spans="1:9" s="89" customFormat="1" ht="24" customHeight="1">
      <c r="A145" s="137" t="s">
        <v>383</v>
      </c>
      <c r="B145" s="148" t="s">
        <v>56</v>
      </c>
      <c r="C145" s="148" t="s">
        <v>10</v>
      </c>
      <c r="D145" s="7" t="s">
        <v>50</v>
      </c>
      <c r="E145" s="148" t="s">
        <v>19</v>
      </c>
      <c r="F145" s="130">
        <f>MEMÓRIA!D114</f>
        <v>6.600000000000001</v>
      </c>
      <c r="G145" s="43">
        <v>98.55</v>
      </c>
      <c r="H145" s="88">
        <f>G145*H12+G145</f>
        <v>120.694185</v>
      </c>
      <c r="I145" s="44">
        <f aca="true" t="shared" si="16" ref="I145:I148">H145*F145</f>
        <v>796.5816210000002</v>
      </c>
    </row>
    <row r="146" spans="1:9" s="89" customFormat="1" ht="24" customHeight="1">
      <c r="A146" s="137" t="s">
        <v>384</v>
      </c>
      <c r="B146" s="148" t="s">
        <v>54</v>
      </c>
      <c r="C146" s="148" t="s">
        <v>10</v>
      </c>
      <c r="D146" s="7" t="s">
        <v>152</v>
      </c>
      <c r="E146" s="148" t="s">
        <v>20</v>
      </c>
      <c r="F146" s="130">
        <f>MEMÓRIA!D115</f>
        <v>0.6600000000000001</v>
      </c>
      <c r="G146" s="43">
        <v>456.42</v>
      </c>
      <c r="H146" s="88">
        <f>G146*H12+G146</f>
        <v>558.977574</v>
      </c>
      <c r="I146" s="44">
        <f t="shared" si="16"/>
        <v>368.92519884000006</v>
      </c>
    </row>
    <row r="147" spans="1:9" s="89" customFormat="1" ht="24" customHeight="1">
      <c r="A147" s="137" t="s">
        <v>385</v>
      </c>
      <c r="B147" s="148" t="s">
        <v>55</v>
      </c>
      <c r="C147" s="148" t="s">
        <v>10</v>
      </c>
      <c r="D147" s="7" t="s">
        <v>49</v>
      </c>
      <c r="E147" s="148" t="s">
        <v>20</v>
      </c>
      <c r="F147" s="130">
        <f>MEMÓRIA!D116</f>
        <v>0.6600000000000001</v>
      </c>
      <c r="G147" s="43">
        <v>164.2</v>
      </c>
      <c r="H147" s="88">
        <f>G147*H12+G147</f>
        <v>201.09573999999998</v>
      </c>
      <c r="I147" s="44">
        <f t="shared" si="16"/>
        <v>132.72318840000003</v>
      </c>
    </row>
    <row r="148" spans="1:9" s="89" customFormat="1" ht="24" customHeight="1">
      <c r="A148" s="137" t="s">
        <v>386</v>
      </c>
      <c r="B148" s="148" t="s">
        <v>57</v>
      </c>
      <c r="C148" s="148" t="s">
        <v>10</v>
      </c>
      <c r="D148" s="7" t="s">
        <v>153</v>
      </c>
      <c r="E148" s="128" t="s">
        <v>14</v>
      </c>
      <c r="F148" s="134">
        <f>MEMÓRIA!D117</f>
        <v>66.00000000000001</v>
      </c>
      <c r="G148" s="43">
        <v>11.46</v>
      </c>
      <c r="H148" s="88">
        <f>G148*H12+G148</f>
        <v>14.035062000000002</v>
      </c>
      <c r="I148" s="44">
        <f t="shared" si="16"/>
        <v>926.3140920000003</v>
      </c>
    </row>
    <row r="149" spans="1:9" s="89" customFormat="1" ht="24" customHeight="1">
      <c r="A149" s="69" t="s">
        <v>337</v>
      </c>
      <c r="B149" s="70"/>
      <c r="C149" s="70"/>
      <c r="D149" s="71" t="s">
        <v>164</v>
      </c>
      <c r="E149" s="72"/>
      <c r="F149" s="73"/>
      <c r="G149" s="74"/>
      <c r="H149" s="75"/>
      <c r="I149" s="76">
        <f>SUM(I150:I153)</f>
        <v>10594.818464999998</v>
      </c>
    </row>
    <row r="150" spans="1:9" s="89" customFormat="1" ht="18.75" customHeight="1">
      <c r="A150" s="6" t="s">
        <v>387</v>
      </c>
      <c r="B150" s="148" t="s">
        <v>349</v>
      </c>
      <c r="C150" s="148" t="s">
        <v>10</v>
      </c>
      <c r="D150" t="s">
        <v>348</v>
      </c>
      <c r="E150" s="148" t="s">
        <v>19</v>
      </c>
      <c r="F150" s="130">
        <f>MEMÓRIA!D119</f>
        <v>33</v>
      </c>
      <c r="G150" s="43">
        <v>212.45</v>
      </c>
      <c r="H150" s="88">
        <f>G150*H12+G150</f>
        <v>260.18751499999996</v>
      </c>
      <c r="I150" s="44">
        <f aca="true" t="shared" si="17" ref="I150:I152">H150*F150</f>
        <v>8586.187994999998</v>
      </c>
    </row>
    <row r="151" spans="1:9" s="89" customFormat="1" ht="24" customHeight="1">
      <c r="A151" s="6" t="s">
        <v>388</v>
      </c>
      <c r="B151" s="148" t="s">
        <v>28</v>
      </c>
      <c r="C151" s="148" t="s">
        <v>10</v>
      </c>
      <c r="D151" s="7" t="s">
        <v>26</v>
      </c>
      <c r="E151" s="148" t="s">
        <v>19</v>
      </c>
      <c r="F151" s="130">
        <f>MEMÓRIA!D120</f>
        <v>33</v>
      </c>
      <c r="G151" s="43">
        <v>6.93</v>
      </c>
      <c r="H151" s="88">
        <f>G151*H12+G151</f>
        <v>8.487171</v>
      </c>
      <c r="I151" s="44">
        <f t="shared" si="17"/>
        <v>280.076643</v>
      </c>
    </row>
    <row r="152" spans="1:9" s="89" customFormat="1" ht="24" customHeight="1">
      <c r="A152" s="6" t="s">
        <v>389</v>
      </c>
      <c r="B152" s="148" t="s">
        <v>29</v>
      </c>
      <c r="C152" s="148" t="s">
        <v>10</v>
      </c>
      <c r="D152" s="7" t="s">
        <v>27</v>
      </c>
      <c r="E152" s="148" t="s">
        <v>19</v>
      </c>
      <c r="F152" s="130">
        <f>MEMÓRIA!D121</f>
        <v>33</v>
      </c>
      <c r="G152" s="43">
        <v>12.83</v>
      </c>
      <c r="H152" s="88">
        <f>G152*H12+G152</f>
        <v>15.712901</v>
      </c>
      <c r="I152" s="44">
        <f t="shared" si="17"/>
        <v>518.5257330000001</v>
      </c>
    </row>
    <row r="153" spans="1:9" s="89" customFormat="1" ht="24" customHeight="1">
      <c r="A153" s="144" t="s">
        <v>390</v>
      </c>
      <c r="B153" s="24" t="s">
        <v>58</v>
      </c>
      <c r="C153" s="29" t="s">
        <v>10</v>
      </c>
      <c r="D153" s="25" t="s">
        <v>96</v>
      </c>
      <c r="E153" s="130" t="s">
        <v>19</v>
      </c>
      <c r="F153" s="130">
        <f>F152</f>
        <v>33</v>
      </c>
      <c r="G153" s="43">
        <v>29.94</v>
      </c>
      <c r="H153" s="88">
        <f>G153*H12+G153</f>
        <v>36.667518</v>
      </c>
      <c r="I153" s="44">
        <f>H153*F153</f>
        <v>1210.028094</v>
      </c>
    </row>
    <row r="154" spans="1:9" ht="29.25" customHeight="1">
      <c r="A154" s="31"/>
      <c r="B154" s="32"/>
      <c r="C154" s="32"/>
      <c r="D154" s="33"/>
      <c r="E154" s="241" t="s">
        <v>59</v>
      </c>
      <c r="F154" s="241"/>
      <c r="G154" s="241"/>
      <c r="H154" s="241"/>
      <c r="I154" s="34">
        <f>I114+I105+I97+I57+I55+I49+I35+I29+I16+I134</f>
        <v>501711.4491979244</v>
      </c>
    </row>
    <row r="156" spans="5:9" ht="15">
      <c r="E156" s="237" t="s">
        <v>391</v>
      </c>
      <c r="F156" s="237"/>
      <c r="G156" s="237"/>
      <c r="H156" s="237"/>
      <c r="I156" s="237"/>
    </row>
    <row r="157" spans="5:9" ht="15">
      <c r="E157" s="18"/>
      <c r="G157" s="18"/>
      <c r="H157" s="18"/>
      <c r="I157" s="18"/>
    </row>
    <row r="159" spans="5:9" ht="15">
      <c r="E159" s="237" t="s">
        <v>60</v>
      </c>
      <c r="F159" s="237"/>
      <c r="G159" s="237"/>
      <c r="H159" s="237"/>
      <c r="I159" s="237"/>
    </row>
    <row r="160" spans="5:9" ht="15">
      <c r="E160" s="237" t="s">
        <v>61</v>
      </c>
      <c r="F160" s="237"/>
      <c r="G160" s="237"/>
      <c r="H160" s="237"/>
      <c r="I160" s="237"/>
    </row>
    <row r="161" spans="5:9" ht="15">
      <c r="E161" s="237" t="s">
        <v>62</v>
      </c>
      <c r="F161" s="237"/>
      <c r="G161" s="237"/>
      <c r="H161" s="237"/>
      <c r="I161" s="237"/>
    </row>
    <row r="162" spans="5:9" ht="15">
      <c r="E162" s="237"/>
      <c r="F162" s="237"/>
      <c r="G162" s="237"/>
      <c r="H162" s="237"/>
      <c r="I162" s="237"/>
    </row>
  </sheetData>
  <mergeCells count="9">
    <mergeCell ref="E160:I160"/>
    <mergeCell ref="E161:I161"/>
    <mergeCell ref="E162:I162"/>
    <mergeCell ref="E154:H154"/>
    <mergeCell ref="G5:G7"/>
    <mergeCell ref="G9:G11"/>
    <mergeCell ref="E156:I156"/>
    <mergeCell ref="E159:I159"/>
    <mergeCell ref="A8:I8"/>
  </mergeCells>
  <conditionalFormatting sqref="A16:I16 A18:A19 I45:I48 F45:F48 E18:I19 C18:C19 E21:I21 C21 F43 I43 C30:C32 E37:F39 I37:I41 F40:F41 A57 I57 E57:G57 A90:A91 F90:G91 A36:A48 A93:A96 E93:G96 I93:I96 A21:A32 I22:I28 E22:G28 G98:G104 A98:A104 I98:I104 F53:G54 A53:A54 I53:I54 A106:A113 G106:G113 I106:I113 A124:A128 A130:A132">
    <cfRule type="expression" priority="571" dxfId="1">
      <formula>IF($L16="I",TRUE,FALSE)</formula>
    </cfRule>
    <cfRule type="expression" priority="572" dxfId="0">
      <formula>IF($L16="T",TRUE,FALSE)</formula>
    </cfRule>
  </conditionalFormatting>
  <conditionalFormatting sqref="C16 C18:C19 C21 C30:C32">
    <cfRule type="expression" priority="570" dxfId="197">
      <formula>IF($L16="I",TRUE,FALSE)</formula>
    </cfRule>
  </conditionalFormatting>
  <conditionalFormatting sqref="A35 I35 E35:G35">
    <cfRule type="expression" priority="548" dxfId="1">
      <formula>IF($L35="I",TRUE,FALSE)</formula>
    </cfRule>
    <cfRule type="expression" priority="549" dxfId="0">
      <formula>IF($L35="T",TRUE,FALSE)</formula>
    </cfRule>
  </conditionalFormatting>
  <conditionalFormatting sqref="A49 I49 E49:G49">
    <cfRule type="expression" priority="546" dxfId="1">
      <formula>IF($L49="I",TRUE,FALSE)</formula>
    </cfRule>
    <cfRule type="expression" priority="547" dxfId="0">
      <formula>IF($L49="T",TRUE,FALSE)</formula>
    </cfRule>
  </conditionalFormatting>
  <conditionalFormatting sqref="A55:A56 I55:I56 E55:G55 F56:G56 F60:G68 A60:A68 A70:A73 F70:G73 F75:G79 A75:A79 A81:A83 F81:G83 F86:G88 A86:A88 I60:I68 I70:I73 I75:I79 I81:I83 I86:I88">
    <cfRule type="expression" priority="536" dxfId="1">
      <formula>IF($L55="I",TRUE,FALSE)</formula>
    </cfRule>
    <cfRule type="expression" priority="537" dxfId="0">
      <formula>IF($L55="T",TRUE,FALSE)</formula>
    </cfRule>
  </conditionalFormatting>
  <conditionalFormatting sqref="I17 E17:G17 A17">
    <cfRule type="expression" priority="386" dxfId="1">
      <formula>IF($L17="I",TRUE,FALSE)</formula>
    </cfRule>
    <cfRule type="expression" priority="387" dxfId="0">
      <formula>IF($L17="T",TRUE,FALSE)</formula>
    </cfRule>
  </conditionalFormatting>
  <conditionalFormatting sqref="I20 E20:G20 A20">
    <cfRule type="expression" priority="384" dxfId="1">
      <formula>IF($L20="I",TRUE,FALSE)</formula>
    </cfRule>
    <cfRule type="expression" priority="385" dxfId="0">
      <formula>IF($L20="T",TRUE,FALSE)</formula>
    </cfRule>
  </conditionalFormatting>
  <conditionalFormatting sqref="E29:G29 I29">
    <cfRule type="expression" priority="373" dxfId="1">
      <formula>IF($L29="I",TRUE,FALSE)</formula>
    </cfRule>
    <cfRule type="expression" priority="374" dxfId="0">
      <formula>IF($L29="T",TRUE,FALSE)</formula>
    </cfRule>
  </conditionalFormatting>
  <conditionalFormatting sqref="F44 I44">
    <cfRule type="expression" priority="347" dxfId="1">
      <formula>IF($L44="I",TRUE,FALSE)</formula>
    </cfRule>
    <cfRule type="expression" priority="348" dxfId="0">
      <formula>IF($L44="T",TRUE,FALSE)</formula>
    </cfRule>
  </conditionalFormatting>
  <conditionalFormatting sqref="E50:G50 I50:I52 A50:A52 F51:G52">
    <cfRule type="expression" priority="317" dxfId="1">
      <formula>IF($L50="I",TRUE,FALSE)</formula>
    </cfRule>
    <cfRule type="expression" priority="318" dxfId="0">
      <formula>IF($L50="T",TRUE,FALSE)</formula>
    </cfRule>
  </conditionalFormatting>
  <conditionalFormatting sqref="E56 E60:E68">
    <cfRule type="expression" priority="246" dxfId="1">
      <formula>IF($L56="I",TRUE,FALSE)</formula>
    </cfRule>
    <cfRule type="expression" priority="247" dxfId="0">
      <formula>IF($L56="T",TRUE,FALSE)</formula>
    </cfRule>
  </conditionalFormatting>
  <conditionalFormatting sqref="E51:E54">
    <cfRule type="expression" priority="183" dxfId="1">
      <formula>IF($L51="I",TRUE,FALSE)</formula>
    </cfRule>
    <cfRule type="expression" priority="184" dxfId="0">
      <formula>IF($L51="T",TRUE,FALSE)</formula>
    </cfRule>
  </conditionalFormatting>
  <conditionalFormatting sqref="A56 A60:A68 A70:A73 A75:A79 A81:A83 A86:A88 A90:A91">
    <cfRule type="expression" priority="599" dxfId="1">
      <formula>IF(#REF!="I",TRUE,FALSE)</formula>
    </cfRule>
    <cfRule type="expression" priority="600" dxfId="0">
      <formula>IF(#REF!="T",TRUE,FALSE)</formula>
    </cfRule>
  </conditionalFormatting>
  <conditionalFormatting sqref="E43:E45">
    <cfRule type="expression" priority="176" dxfId="1">
      <formula>IF($L43="I",TRUE,FALSE)</formula>
    </cfRule>
    <cfRule type="expression" priority="177" dxfId="0">
      <formula>IF($L43="T",TRUE,FALSE)</formula>
    </cfRule>
  </conditionalFormatting>
  <conditionalFormatting sqref="B40:D40">
    <cfRule type="expression" priority="174" dxfId="1">
      <formula>IF($L40="I",TRUE,FALSE)</formula>
    </cfRule>
    <cfRule type="expression" priority="175" dxfId="0">
      <formula>IF($L40="T",TRUE,FALSE)</formula>
    </cfRule>
  </conditionalFormatting>
  <conditionalFormatting sqref="C40">
    <cfRule type="expression" priority="173" dxfId="197">
      <formula>IF($L40="I",TRUE,FALSE)</formula>
    </cfRule>
  </conditionalFormatting>
  <conditionalFormatting sqref="B41:D41">
    <cfRule type="expression" priority="171" dxfId="1">
      <formula>IF($L41="I",TRUE,FALSE)</formula>
    </cfRule>
    <cfRule type="expression" priority="172" dxfId="0">
      <formula>IF($L41="T",TRUE,FALSE)</formula>
    </cfRule>
  </conditionalFormatting>
  <conditionalFormatting sqref="C41">
    <cfRule type="expression" priority="170" dxfId="197">
      <formula>IF($L41="I",TRUE,FALSE)</formula>
    </cfRule>
  </conditionalFormatting>
  <conditionalFormatting sqref="C43:C46">
    <cfRule type="expression" priority="168" dxfId="1">
      <formula>IF($L43="I",TRUE,FALSE)</formula>
    </cfRule>
    <cfRule type="expression" priority="169" dxfId="0">
      <formula>IF($L43="T",TRUE,FALSE)</formula>
    </cfRule>
  </conditionalFormatting>
  <conditionalFormatting sqref="C43:C46">
    <cfRule type="expression" priority="167" dxfId="197">
      <formula>IF($L43="I",TRUE,FALSE)</formula>
    </cfRule>
  </conditionalFormatting>
  <conditionalFormatting sqref="G43:G45">
    <cfRule type="expression" priority="165" dxfId="1">
      <formula>IF($L43="I",TRUE,FALSE)</formula>
    </cfRule>
    <cfRule type="expression" priority="166" dxfId="0">
      <formula>IF($L43="T",TRUE,FALSE)</formula>
    </cfRule>
  </conditionalFormatting>
  <conditionalFormatting sqref="C42">
    <cfRule type="expression" priority="161" dxfId="1">
      <formula>IF($L42="I",TRUE,FALSE)</formula>
    </cfRule>
    <cfRule type="expression" priority="162" dxfId="0">
      <formula>IF($L42="T",TRUE,FALSE)</formula>
    </cfRule>
  </conditionalFormatting>
  <conditionalFormatting sqref="C42">
    <cfRule type="expression" priority="160" dxfId="197">
      <formula>IF($L42="I",TRUE,FALSE)</formula>
    </cfRule>
  </conditionalFormatting>
  <conditionalFormatting sqref="C47:C48">
    <cfRule type="expression" priority="153" dxfId="1">
      <formula>IF($L47="I",TRUE,FALSE)</formula>
    </cfRule>
    <cfRule type="expression" priority="154" dxfId="0">
      <formula>IF($L47="T",TRUE,FALSE)</formula>
    </cfRule>
  </conditionalFormatting>
  <conditionalFormatting sqref="C47:C48">
    <cfRule type="expression" priority="152" dxfId="197">
      <formula>IF($L47="I",TRUE,FALSE)</formula>
    </cfRule>
  </conditionalFormatting>
  <conditionalFormatting sqref="A58 I58 E58:G58">
    <cfRule type="expression" priority="148" dxfId="1">
      <formula>IF($L58="I",TRUE,FALSE)</formula>
    </cfRule>
    <cfRule type="expression" priority="149" dxfId="0">
      <formula>IF($L58="T",TRUE,FALSE)</formula>
    </cfRule>
  </conditionalFormatting>
  <conditionalFormatting sqref="A59 I59 E59:G59">
    <cfRule type="expression" priority="146" dxfId="1">
      <formula>IF($L59="I",TRUE,FALSE)</formula>
    </cfRule>
    <cfRule type="expression" priority="147" dxfId="0">
      <formula>IF($L59="T",TRUE,FALSE)</formula>
    </cfRule>
  </conditionalFormatting>
  <conditionalFormatting sqref="A69 I69 E69:G69">
    <cfRule type="expression" priority="144" dxfId="1">
      <formula>IF($L69="I",TRUE,FALSE)</formula>
    </cfRule>
    <cfRule type="expression" priority="145" dxfId="0">
      <formula>IF($L69="T",TRUE,FALSE)</formula>
    </cfRule>
  </conditionalFormatting>
  <conditionalFormatting sqref="E70:E73">
    <cfRule type="expression" priority="142" dxfId="1">
      <formula>IF($L70="I",TRUE,FALSE)</formula>
    </cfRule>
    <cfRule type="expression" priority="143" dxfId="0">
      <formula>IF($L70="T",TRUE,FALSE)</formula>
    </cfRule>
  </conditionalFormatting>
  <conditionalFormatting sqref="A74 I74 E74:G74">
    <cfRule type="expression" priority="140" dxfId="1">
      <formula>IF($L74="I",TRUE,FALSE)</formula>
    </cfRule>
    <cfRule type="expression" priority="141" dxfId="0">
      <formula>IF($L74="T",TRUE,FALSE)</formula>
    </cfRule>
  </conditionalFormatting>
  <conditionalFormatting sqref="E75:E79">
    <cfRule type="expression" priority="138" dxfId="1">
      <formula>IF($L75="I",TRUE,FALSE)</formula>
    </cfRule>
    <cfRule type="expression" priority="139" dxfId="0">
      <formula>IF($L75="T",TRUE,FALSE)</formula>
    </cfRule>
  </conditionalFormatting>
  <conditionalFormatting sqref="A80 I80 E80:G80">
    <cfRule type="expression" priority="136" dxfId="1">
      <formula>IF($L80="I",TRUE,FALSE)</formula>
    </cfRule>
    <cfRule type="expression" priority="137" dxfId="0">
      <formula>IF($L80="T",TRUE,FALSE)</formula>
    </cfRule>
  </conditionalFormatting>
  <conditionalFormatting sqref="E81:E83">
    <cfRule type="expression" priority="134" dxfId="1">
      <formula>IF($L81="I",TRUE,FALSE)</formula>
    </cfRule>
    <cfRule type="expression" priority="135" dxfId="0">
      <formula>IF($L81="T",TRUE,FALSE)</formula>
    </cfRule>
  </conditionalFormatting>
  <conditionalFormatting sqref="A85 I85 E85:G85">
    <cfRule type="expression" priority="132" dxfId="1">
      <formula>IF($L85="I",TRUE,FALSE)</formula>
    </cfRule>
    <cfRule type="expression" priority="133" dxfId="0">
      <formula>IF($L85="T",TRUE,FALSE)</formula>
    </cfRule>
  </conditionalFormatting>
  <conditionalFormatting sqref="E86:E88">
    <cfRule type="expression" priority="130" dxfId="1">
      <formula>IF($L86="I",TRUE,FALSE)</formula>
    </cfRule>
    <cfRule type="expression" priority="131" dxfId="0">
      <formula>IF($L86="T",TRUE,FALSE)</formula>
    </cfRule>
  </conditionalFormatting>
  <conditionalFormatting sqref="A89 I89 E89:G89">
    <cfRule type="expression" priority="128" dxfId="1">
      <formula>IF($L89="I",TRUE,FALSE)</formula>
    </cfRule>
    <cfRule type="expression" priority="129" dxfId="0">
      <formula>IF($L89="T",TRUE,FALSE)</formula>
    </cfRule>
  </conditionalFormatting>
  <conditionalFormatting sqref="E90:E91">
    <cfRule type="expression" priority="126" dxfId="1">
      <formula>IF($L90="I",TRUE,FALSE)</formula>
    </cfRule>
    <cfRule type="expression" priority="127" dxfId="0">
      <formula>IF($L90="T",TRUE,FALSE)</formula>
    </cfRule>
  </conditionalFormatting>
  <conditionalFormatting sqref="I90:I91">
    <cfRule type="expression" priority="124" dxfId="1">
      <formula>IF($L90="I",TRUE,FALSE)</formula>
    </cfRule>
    <cfRule type="expression" priority="125" dxfId="0">
      <formula>IF($L90="T",TRUE,FALSE)</formula>
    </cfRule>
  </conditionalFormatting>
  <conditionalFormatting sqref="A93:A96 A98:A104 A106:A113">
    <cfRule type="expression" priority="122" dxfId="1">
      <formula>IF(#REF!="I",TRUE,FALSE)</formula>
    </cfRule>
    <cfRule type="expression" priority="123" dxfId="0">
      <formula>IF(#REF!="T",TRUE,FALSE)</formula>
    </cfRule>
  </conditionalFormatting>
  <conditionalFormatting sqref="A92 I92 E92:G92">
    <cfRule type="expression" priority="118" dxfId="1">
      <formula>IF($L92="I",TRUE,FALSE)</formula>
    </cfRule>
    <cfRule type="expression" priority="119" dxfId="0">
      <formula>IF($L92="T",TRUE,FALSE)</formula>
    </cfRule>
  </conditionalFormatting>
  <conditionalFormatting sqref="E36:F36 I36 A36">
    <cfRule type="expression" priority="112" dxfId="1">
      <formula>IF($L36="I",TRUE,FALSE)</formula>
    </cfRule>
    <cfRule type="expression" priority="113" dxfId="0">
      <formula>IF($L36="T",TRUE,FALSE)</formula>
    </cfRule>
  </conditionalFormatting>
  <conditionalFormatting sqref="A33">
    <cfRule type="expression" priority="110" dxfId="1">
      <formula>IF($L33="I",TRUE,FALSE)</formula>
    </cfRule>
    <cfRule type="expression" priority="111" dxfId="0">
      <formula>IF($L33="T",TRUE,FALSE)</formula>
    </cfRule>
  </conditionalFormatting>
  <conditionalFormatting sqref="C33">
    <cfRule type="expression" priority="106" dxfId="197">
      <formula>IF($L33="I",TRUE,FALSE)</formula>
    </cfRule>
  </conditionalFormatting>
  <conditionalFormatting sqref="C33">
    <cfRule type="expression" priority="107" dxfId="1">
      <formula>IF($L33="I",TRUE,FALSE)</formula>
    </cfRule>
    <cfRule type="expression" priority="108" dxfId="0">
      <formula>IF($L33="T",TRUE,FALSE)</formula>
    </cfRule>
  </conditionalFormatting>
  <conditionalFormatting sqref="A97 I97 E97:G97">
    <cfRule type="expression" priority="104" dxfId="1">
      <formula>IF($L97="I",TRUE,FALSE)</formula>
    </cfRule>
    <cfRule type="expression" priority="105" dxfId="0">
      <formula>IF($L97="T",TRUE,FALSE)</formula>
    </cfRule>
  </conditionalFormatting>
  <conditionalFormatting sqref="B98:D98">
    <cfRule type="expression" priority="102" dxfId="1">
      <formula>IF($L98="I",TRUE,FALSE)</formula>
    </cfRule>
    <cfRule type="expression" priority="103" dxfId="0">
      <formula>IF($L98="T",TRUE,FALSE)</formula>
    </cfRule>
  </conditionalFormatting>
  <conditionalFormatting sqref="C98">
    <cfRule type="expression" priority="101" dxfId="197">
      <formula>IF($L98="I",TRUE,FALSE)</formula>
    </cfRule>
  </conditionalFormatting>
  <conditionalFormatting sqref="B99:D100 C101">
    <cfRule type="expression" priority="99" dxfId="1">
      <formula>IF($L99="I",TRUE,FALSE)</formula>
    </cfRule>
    <cfRule type="expression" priority="100" dxfId="0">
      <formula>IF($L99="T",TRUE,FALSE)</formula>
    </cfRule>
  </conditionalFormatting>
  <conditionalFormatting sqref="C99:C101">
    <cfRule type="expression" priority="98" dxfId="197">
      <formula>IF($L99="I",TRUE,FALSE)</formula>
    </cfRule>
  </conditionalFormatting>
  <conditionalFormatting sqref="B102:D103">
    <cfRule type="expression" priority="96" dxfId="1">
      <formula>IF($L102="I",TRUE,FALSE)</formula>
    </cfRule>
    <cfRule type="expression" priority="97" dxfId="0">
      <formula>IF($L102="T",TRUE,FALSE)</formula>
    </cfRule>
  </conditionalFormatting>
  <conditionalFormatting sqref="C102:C103">
    <cfRule type="expression" priority="95" dxfId="197">
      <formula>IF($L102="I",TRUE,FALSE)</formula>
    </cfRule>
  </conditionalFormatting>
  <conditionalFormatting sqref="A34">
    <cfRule type="expression" priority="93" dxfId="1">
      <formula>IF($L34="I",TRUE,FALSE)</formula>
    </cfRule>
    <cfRule type="expression" priority="94" dxfId="0">
      <formula>IF($L34="T",TRUE,FALSE)</formula>
    </cfRule>
  </conditionalFormatting>
  <conditionalFormatting sqref="C34">
    <cfRule type="expression" priority="90" dxfId="197">
      <formula>IF($L34="I",TRUE,FALSE)</formula>
    </cfRule>
  </conditionalFormatting>
  <conditionalFormatting sqref="C34">
    <cfRule type="expression" priority="91" dxfId="1">
      <formula>IF($L34="I",TRUE,FALSE)</formula>
    </cfRule>
    <cfRule type="expression" priority="92" dxfId="0">
      <formula>IF($L34="T",TRUE,FALSE)</formula>
    </cfRule>
  </conditionalFormatting>
  <conditionalFormatting sqref="E110:E111">
    <cfRule type="expression" priority="88" dxfId="1">
      <formula>IF($L110="I",TRUE,FALSE)</formula>
    </cfRule>
    <cfRule type="expression" priority="89" dxfId="0">
      <formula>IF($L110="T",TRUE,FALSE)</formula>
    </cfRule>
  </conditionalFormatting>
  <conditionalFormatting sqref="E112">
    <cfRule type="expression" priority="86" dxfId="1">
      <formula>IF($L112="I",TRUE,FALSE)</formula>
    </cfRule>
    <cfRule type="expression" priority="87" dxfId="0">
      <formula>IF($L112="T",TRUE,FALSE)</formula>
    </cfRule>
  </conditionalFormatting>
  <conditionalFormatting sqref="E109">
    <cfRule type="expression" priority="84" dxfId="1">
      <formula>IF($L109="I",TRUE,FALSE)</formula>
    </cfRule>
    <cfRule type="expression" priority="85" dxfId="0">
      <formula>IF($L109="T",TRUE,FALSE)</formula>
    </cfRule>
  </conditionalFormatting>
  <conditionalFormatting sqref="B106:D106">
    <cfRule type="expression" priority="82" dxfId="1">
      <formula>IF($L106="I",TRUE,FALSE)</formula>
    </cfRule>
    <cfRule type="expression" priority="83" dxfId="0">
      <formula>IF($L106="T",TRUE,FALSE)</formula>
    </cfRule>
  </conditionalFormatting>
  <conditionalFormatting sqref="C106">
    <cfRule type="expression" priority="81" dxfId="197">
      <formula>IF($L106="I",TRUE,FALSE)</formula>
    </cfRule>
  </conditionalFormatting>
  <conditionalFormatting sqref="B107:D107">
    <cfRule type="expression" priority="79" dxfId="1">
      <formula>IF($L107="I",TRUE,FALSE)</formula>
    </cfRule>
    <cfRule type="expression" priority="80" dxfId="0">
      <formula>IF($L107="T",TRUE,FALSE)</formula>
    </cfRule>
  </conditionalFormatting>
  <conditionalFormatting sqref="C107">
    <cfRule type="expression" priority="78" dxfId="197">
      <formula>IF($L107="I",TRUE,FALSE)</formula>
    </cfRule>
  </conditionalFormatting>
  <conditionalFormatting sqref="E113">
    <cfRule type="expression" priority="76" dxfId="1">
      <formula>IF($L113="I",TRUE,FALSE)</formula>
    </cfRule>
    <cfRule type="expression" priority="77" dxfId="0">
      <formula>IF($L113="T",TRUE,FALSE)</formula>
    </cfRule>
  </conditionalFormatting>
  <conditionalFormatting sqref="C108">
    <cfRule type="expression" priority="74" dxfId="1">
      <formula>IF($L108="I",TRUE,FALSE)</formula>
    </cfRule>
    <cfRule type="expression" priority="75" dxfId="0">
      <formula>IF($L108="T",TRUE,FALSE)</formula>
    </cfRule>
  </conditionalFormatting>
  <conditionalFormatting sqref="C108">
    <cfRule type="expression" priority="73" dxfId="197">
      <formula>IF($L108="I",TRUE,FALSE)</formula>
    </cfRule>
  </conditionalFormatting>
  <conditionalFormatting sqref="A105 I105 E105:G105">
    <cfRule type="expression" priority="71" dxfId="1">
      <formula>IF($L105="I",TRUE,FALSE)</formula>
    </cfRule>
    <cfRule type="expression" priority="72" dxfId="0">
      <formula>IF($L105="T",TRUE,FALSE)</formula>
    </cfRule>
  </conditionalFormatting>
  <conditionalFormatting sqref="F110:F111">
    <cfRule type="expression" priority="69" dxfId="1">
      <formula>IF($L110="I",TRUE,FALSE)</formula>
    </cfRule>
    <cfRule type="expression" priority="70" dxfId="0">
      <formula>IF($L110="T",TRUE,FALSE)</formula>
    </cfRule>
  </conditionalFormatting>
  <conditionalFormatting sqref="F112">
    <cfRule type="expression" priority="67" dxfId="1">
      <formula>IF($L112="I",TRUE,FALSE)</formula>
    </cfRule>
    <cfRule type="expression" priority="68" dxfId="0">
      <formula>IF($L112="T",TRUE,FALSE)</formula>
    </cfRule>
  </conditionalFormatting>
  <conditionalFormatting sqref="F109">
    <cfRule type="expression" priority="65" dxfId="1">
      <formula>IF($L109="I",TRUE,FALSE)</formula>
    </cfRule>
    <cfRule type="expression" priority="66" dxfId="0">
      <formula>IF($L109="T",TRUE,FALSE)</formula>
    </cfRule>
  </conditionalFormatting>
  <conditionalFormatting sqref="F113">
    <cfRule type="expression" priority="63" dxfId="1">
      <formula>IF($L113="I",TRUE,FALSE)</formula>
    </cfRule>
    <cfRule type="expression" priority="64" dxfId="0">
      <formula>IF($L113="T",TRUE,FALSE)</formula>
    </cfRule>
  </conditionalFormatting>
  <conditionalFormatting sqref="A114:A115 I114:I115 E114:G115">
    <cfRule type="expression" priority="61" dxfId="1">
      <formula>IF($L114="I",TRUE,FALSE)</formula>
    </cfRule>
    <cfRule type="expression" priority="62" dxfId="0">
      <formula>IF($L114="T",TRUE,FALSE)</formula>
    </cfRule>
  </conditionalFormatting>
  <conditionalFormatting sqref="A116:A123">
    <cfRule type="expression" priority="59" dxfId="1">
      <formula>IF($L116="I",TRUE,FALSE)</formula>
    </cfRule>
    <cfRule type="expression" priority="60" dxfId="0">
      <formula>IF($L116="T",TRUE,FALSE)</formula>
    </cfRule>
  </conditionalFormatting>
  <conditionalFormatting sqref="A116:A123 A130:A132">
    <cfRule type="expression" priority="57" dxfId="1">
      <formula>IF(#REF!="I",TRUE,FALSE)</formula>
    </cfRule>
    <cfRule type="expression" priority="58" dxfId="0">
      <formula>IF(#REF!="T",TRUE,FALSE)</formula>
    </cfRule>
  </conditionalFormatting>
  <conditionalFormatting sqref="F116:G123 I116:I123">
    <cfRule type="expression" priority="51" dxfId="1">
      <formula>IF($L116="I",TRUE,FALSE)</formula>
    </cfRule>
    <cfRule type="expression" priority="52" dxfId="0">
      <formula>IF($L116="T",TRUE,FALSE)</formula>
    </cfRule>
  </conditionalFormatting>
  <conditionalFormatting sqref="E116:E123">
    <cfRule type="expression" priority="49" dxfId="1">
      <formula>IF($L116="I",TRUE,FALSE)</formula>
    </cfRule>
    <cfRule type="expression" priority="50" dxfId="0">
      <formula>IF($L116="T",TRUE,FALSE)</formula>
    </cfRule>
  </conditionalFormatting>
  <conditionalFormatting sqref="F130:G132 I130:I132">
    <cfRule type="expression" priority="47" dxfId="1">
      <formula>IF($L130="I",TRUE,FALSE)</formula>
    </cfRule>
    <cfRule type="expression" priority="48" dxfId="0">
      <formula>IF($L130="T",TRUE,FALSE)</formula>
    </cfRule>
  </conditionalFormatting>
  <conditionalFormatting sqref="E130:E132">
    <cfRule type="expression" priority="45" dxfId="1">
      <formula>IF($L130="I",TRUE,FALSE)</formula>
    </cfRule>
    <cfRule type="expression" priority="46" dxfId="0">
      <formula>IF($L130="T",TRUE,FALSE)</formula>
    </cfRule>
  </conditionalFormatting>
  <conditionalFormatting sqref="I124 E124:G124">
    <cfRule type="expression" priority="43" dxfId="1">
      <formula>IF($L124="I",TRUE,FALSE)</formula>
    </cfRule>
    <cfRule type="expression" priority="44" dxfId="0">
      <formula>IF($L124="T",TRUE,FALSE)</formula>
    </cfRule>
  </conditionalFormatting>
  <conditionalFormatting sqref="A129 I129 E129:G129">
    <cfRule type="expression" priority="41" dxfId="1">
      <formula>IF($L129="I",TRUE,FALSE)</formula>
    </cfRule>
    <cfRule type="expression" priority="42" dxfId="0">
      <formula>IF($L129="T",TRUE,FALSE)</formula>
    </cfRule>
  </conditionalFormatting>
  <conditionalFormatting sqref="F125:G128 I125:I128">
    <cfRule type="expression" priority="39" dxfId="1">
      <formula>IF($L125="I",TRUE,FALSE)</formula>
    </cfRule>
    <cfRule type="expression" priority="40" dxfId="0">
      <formula>IF($L125="T",TRUE,FALSE)</formula>
    </cfRule>
  </conditionalFormatting>
  <conditionalFormatting sqref="E125:E128">
    <cfRule type="expression" priority="37" dxfId="1">
      <formula>IF($L125="I",TRUE,FALSE)</formula>
    </cfRule>
    <cfRule type="expression" priority="38" dxfId="0">
      <formula>IF($L125="T",TRUE,FALSE)</formula>
    </cfRule>
  </conditionalFormatting>
  <conditionalFormatting sqref="A144:A148 A150:A152">
    <cfRule type="expression" priority="35" dxfId="1">
      <formula>IF($L144="I",TRUE,FALSE)</formula>
    </cfRule>
    <cfRule type="expression" priority="36" dxfId="0">
      <formula>IF($L144="T",TRUE,FALSE)</formula>
    </cfRule>
  </conditionalFormatting>
  <conditionalFormatting sqref="A134:A135 I134:I135 E134:G135">
    <cfRule type="expression" priority="33" dxfId="1">
      <formula>IF($L134="I",TRUE,FALSE)</formula>
    </cfRule>
    <cfRule type="expression" priority="34" dxfId="0">
      <formula>IF($L134="T",TRUE,FALSE)</formula>
    </cfRule>
  </conditionalFormatting>
  <conditionalFormatting sqref="A136:A143">
    <cfRule type="expression" priority="31" dxfId="1">
      <formula>IF($L136="I",TRUE,FALSE)</formula>
    </cfRule>
    <cfRule type="expression" priority="32" dxfId="0">
      <formula>IF($L136="T",TRUE,FALSE)</formula>
    </cfRule>
  </conditionalFormatting>
  <conditionalFormatting sqref="A136:A143 A150:A152">
    <cfRule type="expression" priority="29" dxfId="1">
      <formula>IF(#REF!="I",TRUE,FALSE)</formula>
    </cfRule>
    <cfRule type="expression" priority="30" dxfId="0">
      <formula>IF(#REF!="T",TRUE,FALSE)</formula>
    </cfRule>
  </conditionalFormatting>
  <conditionalFormatting sqref="F136:G143 I136:I143">
    <cfRule type="expression" priority="27" dxfId="1">
      <formula>IF($L136="I",TRUE,FALSE)</formula>
    </cfRule>
    <cfRule type="expression" priority="28" dxfId="0">
      <formula>IF($L136="T",TRUE,FALSE)</formula>
    </cfRule>
  </conditionalFormatting>
  <conditionalFormatting sqref="E136:E143">
    <cfRule type="expression" priority="25" dxfId="1">
      <formula>IF($L136="I",TRUE,FALSE)</formula>
    </cfRule>
    <cfRule type="expression" priority="26" dxfId="0">
      <formula>IF($L136="T",TRUE,FALSE)</formula>
    </cfRule>
  </conditionalFormatting>
  <conditionalFormatting sqref="F150:G152 I150:I152">
    <cfRule type="expression" priority="23" dxfId="1">
      <formula>IF($L150="I",TRUE,FALSE)</formula>
    </cfRule>
    <cfRule type="expression" priority="24" dxfId="0">
      <formula>IF($L150="T",TRUE,FALSE)</formula>
    </cfRule>
  </conditionalFormatting>
  <conditionalFormatting sqref="E150:E152">
    <cfRule type="expression" priority="21" dxfId="1">
      <formula>IF($L150="I",TRUE,FALSE)</formula>
    </cfRule>
    <cfRule type="expression" priority="22" dxfId="0">
      <formula>IF($L150="T",TRUE,FALSE)</formula>
    </cfRule>
  </conditionalFormatting>
  <conditionalFormatting sqref="I144 E144:G144">
    <cfRule type="expression" priority="19" dxfId="1">
      <formula>IF($L144="I",TRUE,FALSE)</formula>
    </cfRule>
    <cfRule type="expression" priority="20" dxfId="0">
      <formula>IF($L144="T",TRUE,FALSE)</formula>
    </cfRule>
  </conditionalFormatting>
  <conditionalFormatting sqref="A149 I149 E149:G149">
    <cfRule type="expression" priority="17" dxfId="1">
      <formula>IF($L149="I",TRUE,FALSE)</formula>
    </cfRule>
    <cfRule type="expression" priority="18" dxfId="0">
      <formula>IF($L149="T",TRUE,FALSE)</formula>
    </cfRule>
  </conditionalFormatting>
  <conditionalFormatting sqref="F145:G148 I145:I148">
    <cfRule type="expression" priority="15" dxfId="1">
      <formula>IF($L145="I",TRUE,FALSE)</formula>
    </cfRule>
    <cfRule type="expression" priority="16" dxfId="0">
      <formula>IF($L145="T",TRUE,FALSE)</formula>
    </cfRule>
  </conditionalFormatting>
  <conditionalFormatting sqref="E145:E148">
    <cfRule type="expression" priority="13" dxfId="1">
      <formula>IF($L145="I",TRUE,FALSE)</formula>
    </cfRule>
    <cfRule type="expression" priority="14" dxfId="0">
      <formula>IF($L145="T",TRUE,FALSE)</formula>
    </cfRule>
  </conditionalFormatting>
  <conditionalFormatting sqref="G133 A133 I133">
    <cfRule type="expression" priority="11" dxfId="1">
      <formula>IF($L133="I",TRUE,FALSE)</formula>
    </cfRule>
    <cfRule type="expression" priority="12" dxfId="0">
      <formula>IF($L133="T",TRUE,FALSE)</formula>
    </cfRule>
  </conditionalFormatting>
  <conditionalFormatting sqref="A133">
    <cfRule type="expression" priority="9" dxfId="1">
      <formula>IF(#REF!="I",TRUE,FALSE)</formula>
    </cfRule>
    <cfRule type="expression" priority="10" dxfId="0">
      <formula>IF(#REF!="T",TRUE,FALSE)</formula>
    </cfRule>
  </conditionalFormatting>
  <conditionalFormatting sqref="G153 A153 I153">
    <cfRule type="expression" priority="7" dxfId="1">
      <formula>IF($L153="I",TRUE,FALSE)</formula>
    </cfRule>
    <cfRule type="expression" priority="8" dxfId="0">
      <formula>IF($L153="T",TRUE,FALSE)</formula>
    </cfRule>
  </conditionalFormatting>
  <conditionalFormatting sqref="A153">
    <cfRule type="expression" priority="5" dxfId="1">
      <formula>IF(#REF!="I",TRUE,FALSE)</formula>
    </cfRule>
    <cfRule type="expression" priority="6" dxfId="0">
      <formula>IF(#REF!="T",TRUE,FALSE)</formula>
    </cfRule>
  </conditionalFormatting>
  <conditionalFormatting sqref="G84 A84 I84">
    <cfRule type="expression" priority="3" dxfId="1">
      <formula>IF($L84="I",TRUE,FALSE)</formula>
    </cfRule>
    <cfRule type="expression" priority="4" dxfId="0">
      <formula>IF($L84="T",TRUE,FALSE)</formula>
    </cfRule>
  </conditionalFormatting>
  <conditionalFormatting sqref="A84">
    <cfRule type="expression" priority="1" dxfId="1">
      <formula>IF(#REF!="I",TRUE,FALSE)</formula>
    </cfRule>
    <cfRule type="expression" priority="2" dxfId="0">
      <formula>IF(#REF!="T",TRUE,FALSE)</formula>
    </cfRule>
  </conditionalFormatting>
  <printOptions horizontalCentered="1"/>
  <pageMargins left="0.1968503937007874" right="0.1968503937007874" top="0.7874015748031497" bottom="0.7874015748031497" header="0.31496062992125984" footer="0.31496062992125984"/>
  <pageSetup fitToHeight="5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1"/>
  <sheetViews>
    <sheetView zoomScale="110" zoomScaleNormal="110" workbookViewId="0" topLeftCell="A70">
      <selection activeCell="D84" sqref="D84"/>
    </sheetView>
  </sheetViews>
  <sheetFormatPr defaultColWidth="9.140625" defaultRowHeight="15"/>
  <cols>
    <col min="2" max="2" width="57.00390625" style="0" customWidth="1"/>
    <col min="3" max="3" width="9.140625" style="38" customWidth="1"/>
    <col min="4" max="4" width="10.140625" style="51" customWidth="1"/>
    <col min="5" max="5" width="56.00390625" style="5" customWidth="1"/>
  </cols>
  <sheetData>
    <row r="1" spans="1:4" ht="15">
      <c r="A1" t="s">
        <v>2</v>
      </c>
      <c r="B1" t="s">
        <v>4</v>
      </c>
      <c r="C1" s="38" t="s">
        <v>12</v>
      </c>
      <c r="D1" s="51" t="s">
        <v>13</v>
      </c>
    </row>
    <row r="2" spans="1:5" ht="15">
      <c r="A2" s="55" t="s">
        <v>68</v>
      </c>
      <c r="B2" s="2" t="str">
        <f>PLANILHA!D16</f>
        <v>SERVIÇOS PRELIMINARES</v>
      </c>
      <c r="C2" s="50"/>
      <c r="D2" s="52"/>
      <c r="E2" s="17"/>
    </row>
    <row r="3" spans="1:5" ht="30">
      <c r="A3" s="6" t="s">
        <v>69</v>
      </c>
      <c r="B3" s="5" t="str">
        <f>PLANILHA!D17</f>
        <v>Levantamento planialmétrico cadastral com áreas até 50% de ocupação ‐ área até 20.000 m² (mínimo de 4.000 m²)</v>
      </c>
      <c r="C3" s="9" t="s">
        <v>19</v>
      </c>
      <c r="D3" s="53">
        <v>743.5</v>
      </c>
      <c r="E3" s="45" t="s">
        <v>129</v>
      </c>
    </row>
    <row r="4" spans="1:5" ht="25.5">
      <c r="A4" s="6" t="s">
        <v>70</v>
      </c>
      <c r="B4" s="6" t="str">
        <f>PLANILHA!D18</f>
        <v>Taxa de mobilização e desmobilização de equipamentos para execução de levantamento topográfico</v>
      </c>
      <c r="C4" s="83" t="s">
        <v>84</v>
      </c>
      <c r="D4" s="53">
        <v>1</v>
      </c>
      <c r="E4" s="45"/>
    </row>
    <row r="5" spans="1:5" ht="15">
      <c r="A5" s="40" t="s">
        <v>71</v>
      </c>
      <c r="B5" s="39" t="str">
        <f>PLANILHA!D19</f>
        <v>Projeto executivo de arquitetura em formato A1</v>
      </c>
      <c r="C5" s="41" t="s">
        <v>12</v>
      </c>
      <c r="D5" s="53">
        <v>1</v>
      </c>
      <c r="E5" s="45"/>
    </row>
    <row r="6" spans="1:5" ht="15">
      <c r="A6" s="14" t="s">
        <v>72</v>
      </c>
      <c r="B6" s="8" t="str">
        <f>PLANILHA!D20</f>
        <v>Placa de identificação para obra</v>
      </c>
      <c r="C6" s="9" t="s">
        <v>19</v>
      </c>
      <c r="D6" s="53">
        <v>3</v>
      </c>
      <c r="E6" s="45" t="s">
        <v>91</v>
      </c>
    </row>
    <row r="7" spans="1:5" ht="30">
      <c r="A7" s="48" t="s">
        <v>73</v>
      </c>
      <c r="B7" s="5" t="str">
        <f>PLANILHA!D21</f>
        <v>Aterro mecanizado por compensação, solo de 1ª categoria em campo aberto, sem compactação do aterro</v>
      </c>
      <c r="C7" s="159" t="s">
        <v>20</v>
      </c>
      <c r="D7" s="54">
        <f>(D3/2)*0.5</f>
        <v>185.875</v>
      </c>
      <c r="E7" s="47" t="s">
        <v>314</v>
      </c>
    </row>
    <row r="8" spans="1:5" s="46" customFormat="1" ht="45">
      <c r="A8" s="160" t="s">
        <v>74</v>
      </c>
      <c r="B8" s="3" t="s">
        <v>133</v>
      </c>
      <c r="C8" s="30" t="s">
        <v>19</v>
      </c>
      <c r="D8" s="53">
        <f>D3</f>
        <v>743.5</v>
      </c>
      <c r="E8" s="45" t="s">
        <v>129</v>
      </c>
    </row>
    <row r="9" spans="1:5" s="46" customFormat="1" ht="30">
      <c r="A9" s="122"/>
      <c r="B9" s="8" t="s">
        <v>277</v>
      </c>
      <c r="C9" s="9" t="s">
        <v>12</v>
      </c>
      <c r="D9" s="53">
        <v>20</v>
      </c>
      <c r="E9" s="45"/>
    </row>
    <row r="10" spans="1:5" s="46" customFormat="1" ht="15">
      <c r="A10" s="122"/>
      <c r="B10" s="7" t="s">
        <v>279</v>
      </c>
      <c r="C10" s="9" t="s">
        <v>19</v>
      </c>
      <c r="D10" s="53">
        <f>39.8*2.5</f>
        <v>99.5</v>
      </c>
      <c r="E10" s="45" t="s">
        <v>315</v>
      </c>
    </row>
    <row r="11" spans="1:5" s="46" customFormat="1" ht="30">
      <c r="A11" s="122"/>
      <c r="B11" s="3" t="s">
        <v>281</v>
      </c>
      <c r="C11" s="9" t="s">
        <v>19</v>
      </c>
      <c r="D11" s="53">
        <f>20.9*2</f>
        <v>41.8</v>
      </c>
      <c r="E11" s="45" t="s">
        <v>316</v>
      </c>
    </row>
    <row r="12" spans="1:5" s="46" customFormat="1" ht="30">
      <c r="A12" s="160"/>
      <c r="B12" s="5" t="s">
        <v>283</v>
      </c>
      <c r="C12" s="20" t="s">
        <v>20</v>
      </c>
      <c r="D12" s="53">
        <f>((15.7*2.5)+(16*0.5))*0.25</f>
        <v>11.8125</v>
      </c>
      <c r="E12" s="45" t="s">
        <v>317</v>
      </c>
    </row>
    <row r="13" spans="1:5" s="46" customFormat="1" ht="45">
      <c r="A13" s="122"/>
      <c r="B13" s="3" t="s">
        <v>285</v>
      </c>
      <c r="C13" s="9" t="s">
        <v>20</v>
      </c>
      <c r="D13" s="53">
        <f>D12+D14</f>
        <v>17.4125</v>
      </c>
      <c r="E13" s="45" t="s">
        <v>357</v>
      </c>
    </row>
    <row r="14" spans="1:5" s="46" customFormat="1" ht="15">
      <c r="A14" s="122"/>
      <c r="B14" t="s">
        <v>354</v>
      </c>
      <c r="C14" s="9"/>
      <c r="D14" s="53">
        <f>80*0.07</f>
        <v>5.6000000000000005</v>
      </c>
      <c r="E14" s="45" t="s">
        <v>356</v>
      </c>
    </row>
    <row r="15" spans="1:5" s="46" customFormat="1" ht="15">
      <c r="A15" s="61" t="s">
        <v>63</v>
      </c>
      <c r="B15" s="2" t="str">
        <f>PLANILHA!D29</f>
        <v>PISOS</v>
      </c>
      <c r="C15" s="50"/>
      <c r="D15" s="52"/>
      <c r="E15" s="17"/>
    </row>
    <row r="16" spans="1:5" s="46" customFormat="1" ht="30">
      <c r="A16" s="40" t="s">
        <v>15</v>
      </c>
      <c r="B16" s="8" t="str">
        <f>PLANILHA!D30</f>
        <v>Regularização e compactação mecanizada de superfície, sem controle do proctor normal</v>
      </c>
      <c r="C16" s="24" t="s">
        <v>19</v>
      </c>
      <c r="D16" s="53">
        <v>341.95</v>
      </c>
      <c r="E16" s="45" t="s">
        <v>235</v>
      </c>
    </row>
    <row r="17" spans="1:5" s="46" customFormat="1" ht="24">
      <c r="A17" s="40" t="s">
        <v>16</v>
      </c>
      <c r="B17" s="25" t="str">
        <f>PLANILHA!D31</f>
        <v>Execução de passeio (calçada) ou piso de concreto moldado in loco, usinado, acabamento convencional, não armado</v>
      </c>
      <c r="C17" s="24" t="s">
        <v>20</v>
      </c>
      <c r="D17" s="53">
        <f>80*0.07</f>
        <v>5.6000000000000005</v>
      </c>
      <c r="E17" s="45" t="s">
        <v>249</v>
      </c>
    </row>
    <row r="18" spans="1:5" s="46" customFormat="1" ht="30.75" customHeight="1">
      <c r="A18" s="40" t="s">
        <v>17</v>
      </c>
      <c r="B18" s="5" t="s">
        <v>130</v>
      </c>
      <c r="C18" s="24" t="s">
        <v>19</v>
      </c>
      <c r="D18" s="53">
        <v>121.4</v>
      </c>
      <c r="E18" s="45" t="s">
        <v>131</v>
      </c>
    </row>
    <row r="19" spans="1:5" s="46" customFormat="1" ht="30.75" customHeight="1">
      <c r="A19" s="137" t="s">
        <v>18</v>
      </c>
      <c r="B19" s="1" t="s">
        <v>116</v>
      </c>
      <c r="C19" s="24" t="s">
        <v>11</v>
      </c>
      <c r="D19" s="53">
        <v>6.7</v>
      </c>
      <c r="E19" s="45" t="s">
        <v>236</v>
      </c>
    </row>
    <row r="20" spans="1:5" s="46" customFormat="1" ht="45.75" customHeight="1">
      <c r="A20" s="137" t="s">
        <v>245</v>
      </c>
      <c r="B20" s="5" t="s">
        <v>246</v>
      </c>
      <c r="C20" s="24" t="s">
        <v>19</v>
      </c>
      <c r="D20" s="53">
        <v>140.55</v>
      </c>
      <c r="E20" s="45"/>
    </row>
    <row r="21" spans="1:5" ht="24.75" customHeight="1">
      <c r="A21" s="69" t="s">
        <v>21</v>
      </c>
      <c r="B21" s="15" t="str">
        <f>PLANILHA!D35</f>
        <v>ILUMINAÇÃO</v>
      </c>
      <c r="C21" s="50"/>
      <c r="D21" s="52"/>
      <c r="E21" s="17"/>
    </row>
    <row r="22" spans="1:5" ht="30">
      <c r="A22" s="6" t="s">
        <v>22</v>
      </c>
      <c r="B22" s="3" t="str">
        <f>PLANILHA!D37</f>
        <v>Poste telecônico reto em aço SAE 1010/1020 galvanizado a fogo, altura de 6,00 m</v>
      </c>
      <c r="C22" s="9" t="s">
        <v>12</v>
      </c>
      <c r="D22" s="53">
        <v>17</v>
      </c>
      <c r="E22" s="3" t="s">
        <v>250</v>
      </c>
    </row>
    <row r="23" spans="1:5" ht="30">
      <c r="A23" s="6" t="s">
        <v>25</v>
      </c>
      <c r="B23" s="3" t="str">
        <f>PLANILHA!D38</f>
        <v>Suporte tubular de fixação em poste para 1 luminária tipo pétala</v>
      </c>
      <c r="C23" s="20" t="s">
        <v>12</v>
      </c>
      <c r="D23" s="53">
        <v>17</v>
      </c>
      <c r="E23" s="3" t="s">
        <v>250</v>
      </c>
    </row>
    <row r="24" spans="1:5" ht="30">
      <c r="A24" s="6" t="s">
        <v>65</v>
      </c>
      <c r="B24" s="3" t="str">
        <f>PLANILHA!D39</f>
        <v>Luminária LED retangular para poste, fluxo luminoso de 14083 lm, eficiência mínima 135 lm/W ‐ potência de 104 W</v>
      </c>
      <c r="C24" s="20" t="s">
        <v>12</v>
      </c>
      <c r="D24" s="53">
        <v>17</v>
      </c>
      <c r="E24" s="3" t="s">
        <v>250</v>
      </c>
    </row>
    <row r="25" spans="1:5" ht="30">
      <c r="A25" s="6" t="s">
        <v>97</v>
      </c>
      <c r="B25" s="8" t="s">
        <v>46</v>
      </c>
      <c r="C25" s="24" t="s">
        <v>20</v>
      </c>
      <c r="D25" s="127">
        <f>100*0.5*0.15</f>
        <v>7.5</v>
      </c>
      <c r="E25" s="87" t="s">
        <v>251</v>
      </c>
    </row>
    <row r="26" spans="1:5" ht="15">
      <c r="A26" s="6" t="s">
        <v>98</v>
      </c>
      <c r="B26" s="23" t="s">
        <v>48</v>
      </c>
      <c r="C26" s="24" t="s">
        <v>20</v>
      </c>
      <c r="D26" s="127">
        <f>100*0.15*0.15</f>
        <v>2.25</v>
      </c>
      <c r="E26" s="87" t="s">
        <v>252</v>
      </c>
    </row>
    <row r="27" spans="1:5" ht="15">
      <c r="A27" s="6" t="s">
        <v>99</v>
      </c>
      <c r="B27" s="1" t="s">
        <v>49</v>
      </c>
      <c r="C27" s="9" t="s">
        <v>20</v>
      </c>
      <c r="D27" s="127">
        <f>100*0.35*0.15</f>
        <v>5.25</v>
      </c>
      <c r="E27" s="87" t="s">
        <v>253</v>
      </c>
    </row>
    <row r="28" spans="1:5" ht="15">
      <c r="A28" s="40" t="s">
        <v>100</v>
      </c>
      <c r="B28" t="s">
        <v>119</v>
      </c>
      <c r="C28" s="9" t="s">
        <v>20</v>
      </c>
      <c r="D28" s="127">
        <f>100*0.2*0.15</f>
        <v>3</v>
      </c>
      <c r="E28" s="87" t="s">
        <v>254</v>
      </c>
    </row>
    <row r="29" spans="1:5" ht="30">
      <c r="A29" s="40" t="s">
        <v>128</v>
      </c>
      <c r="B29" s="3" t="s">
        <v>121</v>
      </c>
      <c r="C29" s="9" t="s">
        <v>11</v>
      </c>
      <c r="D29" s="53">
        <f>100*2</f>
        <v>200</v>
      </c>
      <c r="E29" s="3"/>
    </row>
    <row r="30" spans="1:5" ht="30">
      <c r="A30" s="40" t="s">
        <v>177</v>
      </c>
      <c r="B30" s="3" t="s">
        <v>123</v>
      </c>
      <c r="C30" s="24" t="s">
        <v>11</v>
      </c>
      <c r="D30" s="53">
        <f>100*3</f>
        <v>300</v>
      </c>
      <c r="E30" s="3"/>
    </row>
    <row r="31" spans="1:5" ht="15">
      <c r="A31" s="40" t="s">
        <v>178</v>
      </c>
      <c r="B31" s="1" t="s">
        <v>125</v>
      </c>
      <c r="C31" s="4"/>
      <c r="D31" s="53">
        <v>150</v>
      </c>
      <c r="E31" s="3"/>
    </row>
    <row r="32" spans="1:5" ht="30">
      <c r="A32" s="40" t="s">
        <v>179</v>
      </c>
      <c r="B32" s="3" t="s">
        <v>143</v>
      </c>
      <c r="C32" s="24" t="s">
        <v>12</v>
      </c>
      <c r="D32" s="126">
        <v>6</v>
      </c>
      <c r="E32" s="3" t="s">
        <v>144</v>
      </c>
    </row>
    <row r="33" spans="1:5" ht="15">
      <c r="A33" s="69" t="s">
        <v>35</v>
      </c>
      <c r="B33" s="71" t="s">
        <v>145</v>
      </c>
      <c r="C33" s="72"/>
      <c r="D33" s="132"/>
      <c r="E33" s="133"/>
    </row>
    <row r="34" spans="1:5" ht="15">
      <c r="A34" s="69" t="s">
        <v>36</v>
      </c>
      <c r="B34" s="71" t="s">
        <v>146</v>
      </c>
      <c r="C34" s="72"/>
      <c r="D34" s="132"/>
      <c r="E34" s="133"/>
    </row>
    <row r="35" spans="1:5" ht="15">
      <c r="A35" s="69" t="s">
        <v>180</v>
      </c>
      <c r="B35" s="71" t="s">
        <v>45</v>
      </c>
      <c r="C35" s="72"/>
      <c r="D35" s="132"/>
      <c r="E35" s="133"/>
    </row>
    <row r="36" spans="1:5" ht="15">
      <c r="A36" s="6" t="s">
        <v>181</v>
      </c>
      <c r="B36" s="8" t="s">
        <v>148</v>
      </c>
      <c r="C36" s="121" t="s">
        <v>11</v>
      </c>
      <c r="D36" s="126">
        <f>12+12+20+20</f>
        <v>64</v>
      </c>
      <c r="E36" s="3" t="s">
        <v>255</v>
      </c>
    </row>
    <row r="37" spans="1:5" ht="15">
      <c r="A37" s="6" t="s">
        <v>182</v>
      </c>
      <c r="B37" s="8" t="s">
        <v>150</v>
      </c>
      <c r="C37" s="121" t="s">
        <v>11</v>
      </c>
      <c r="D37" s="126">
        <f>21*2</f>
        <v>42</v>
      </c>
      <c r="E37" s="3" t="s">
        <v>256</v>
      </c>
    </row>
    <row r="38" spans="1:5" ht="30">
      <c r="A38" s="6" t="s">
        <v>183</v>
      </c>
      <c r="B38" s="8" t="s">
        <v>46</v>
      </c>
      <c r="C38" s="121" t="s">
        <v>20</v>
      </c>
      <c r="D38" s="126">
        <f>64*0.2*0.3</f>
        <v>3.84</v>
      </c>
      <c r="E38" s="3" t="s">
        <v>257</v>
      </c>
    </row>
    <row r="39" spans="1:5" ht="30">
      <c r="A39" s="6" t="s">
        <v>184</v>
      </c>
      <c r="B39" s="8" t="s">
        <v>151</v>
      </c>
      <c r="C39" s="121" t="s">
        <v>19</v>
      </c>
      <c r="D39" s="126">
        <f>64*0.2</f>
        <v>12.8</v>
      </c>
      <c r="E39" s="3" t="s">
        <v>258</v>
      </c>
    </row>
    <row r="40" spans="1:5" ht="15">
      <c r="A40" s="6" t="s">
        <v>185</v>
      </c>
      <c r="B40" s="8" t="s">
        <v>47</v>
      </c>
      <c r="C40" s="121" t="s">
        <v>20</v>
      </c>
      <c r="D40" s="126">
        <f>64*0.2*0.05</f>
        <v>0.6400000000000001</v>
      </c>
      <c r="E40" s="3" t="s">
        <v>259</v>
      </c>
    </row>
    <row r="41" spans="1:5" ht="15">
      <c r="A41" s="6" t="s">
        <v>186</v>
      </c>
      <c r="B41" s="8" t="s">
        <v>50</v>
      </c>
      <c r="C41" s="121" t="s">
        <v>19</v>
      </c>
      <c r="D41" s="126">
        <f>64*0.3*2</f>
        <v>38.4</v>
      </c>
      <c r="E41" s="3" t="s">
        <v>260</v>
      </c>
    </row>
    <row r="42" spans="1:5" ht="15">
      <c r="A42" s="6" t="s">
        <v>187</v>
      </c>
      <c r="B42" s="8" t="s">
        <v>152</v>
      </c>
      <c r="C42" s="121" t="s">
        <v>20</v>
      </c>
      <c r="D42" s="126">
        <f>64*0.2*0.3</f>
        <v>3.84</v>
      </c>
      <c r="E42" s="3" t="s">
        <v>257</v>
      </c>
    </row>
    <row r="43" spans="1:5" ht="30">
      <c r="A43" s="6" t="s">
        <v>194</v>
      </c>
      <c r="B43" s="8" t="s">
        <v>49</v>
      </c>
      <c r="C43" s="121" t="s">
        <v>20</v>
      </c>
      <c r="D43" s="126">
        <f>64*0.2*0.3</f>
        <v>3.84</v>
      </c>
      <c r="E43" s="3" t="s">
        <v>261</v>
      </c>
    </row>
    <row r="44" spans="1:5" ht="15">
      <c r="A44" s="6" t="s">
        <v>195</v>
      </c>
      <c r="B44" s="8" t="s">
        <v>153</v>
      </c>
      <c r="C44" s="128" t="s">
        <v>14</v>
      </c>
      <c r="D44" s="126">
        <f>D43*70</f>
        <v>268.8</v>
      </c>
      <c r="E44" s="3" t="s">
        <v>189</v>
      </c>
    </row>
    <row r="45" spans="1:5" ht="15">
      <c r="A45" s="69" t="s">
        <v>188</v>
      </c>
      <c r="B45" s="71" t="s">
        <v>154</v>
      </c>
      <c r="C45" s="72"/>
      <c r="D45" s="132"/>
      <c r="E45" s="133" t="s">
        <v>262</v>
      </c>
    </row>
    <row r="46" spans="1:5" ht="15">
      <c r="A46" s="6" t="s">
        <v>196</v>
      </c>
      <c r="B46" s="7" t="s">
        <v>50</v>
      </c>
      <c r="C46" s="121" t="s">
        <v>19</v>
      </c>
      <c r="D46" s="53">
        <f>0.4*1*21</f>
        <v>8.4</v>
      </c>
      <c r="E46" s="45" t="s">
        <v>263</v>
      </c>
    </row>
    <row r="47" spans="1:5" ht="15">
      <c r="A47" s="6" t="s">
        <v>197</v>
      </c>
      <c r="B47" s="7" t="s">
        <v>152</v>
      </c>
      <c r="C47" s="121" t="s">
        <v>20</v>
      </c>
      <c r="D47" s="53">
        <f>0.2*0.2*1*21</f>
        <v>0.8400000000000002</v>
      </c>
      <c r="E47" s="45" t="s">
        <v>264</v>
      </c>
    </row>
    <row r="48" spans="1:5" ht="15">
      <c r="A48" s="6" t="s">
        <v>198</v>
      </c>
      <c r="B48" s="7" t="s">
        <v>49</v>
      </c>
      <c r="C48" s="121" t="s">
        <v>20</v>
      </c>
      <c r="D48" s="53">
        <f>0.2*0.2*1*21</f>
        <v>0.8400000000000002</v>
      </c>
      <c r="E48" s="45" t="s">
        <v>264</v>
      </c>
    </row>
    <row r="49" spans="1:5" ht="15">
      <c r="A49" s="6" t="s">
        <v>199</v>
      </c>
      <c r="B49" s="7" t="s">
        <v>153</v>
      </c>
      <c r="C49" s="128" t="s">
        <v>14</v>
      </c>
      <c r="D49" s="53">
        <f>D48*100</f>
        <v>84.00000000000001</v>
      </c>
      <c r="E49" s="45" t="s">
        <v>190</v>
      </c>
    </row>
    <row r="50" spans="1:5" ht="15">
      <c r="A50" s="69" t="s">
        <v>37</v>
      </c>
      <c r="B50" s="71" t="s">
        <v>155</v>
      </c>
      <c r="C50" s="72"/>
      <c r="D50" s="132"/>
      <c r="E50" s="133"/>
    </row>
    <row r="51" spans="1:5" ht="30">
      <c r="A51" s="6" t="s">
        <v>200</v>
      </c>
      <c r="B51" s="8" t="s">
        <v>157</v>
      </c>
      <c r="C51" s="128" t="s">
        <v>20</v>
      </c>
      <c r="D51" s="126">
        <f>12*20*0.6</f>
        <v>144</v>
      </c>
      <c r="E51" s="3" t="s">
        <v>265</v>
      </c>
    </row>
    <row r="52" spans="1:5" ht="30">
      <c r="A52" s="6" t="s">
        <v>201</v>
      </c>
      <c r="B52" s="131" t="s">
        <v>92</v>
      </c>
      <c r="C52" s="121" t="s">
        <v>19</v>
      </c>
      <c r="D52" s="126">
        <f>12*20</f>
        <v>240</v>
      </c>
      <c r="E52" s="3" t="s">
        <v>266</v>
      </c>
    </row>
    <row r="53" spans="1:5" ht="15">
      <c r="A53" s="6" t="s">
        <v>202</v>
      </c>
      <c r="B53" s="7" t="s">
        <v>159</v>
      </c>
      <c r="C53" s="121" t="s">
        <v>20</v>
      </c>
      <c r="D53" s="126">
        <f>12*20*0.05</f>
        <v>12</v>
      </c>
      <c r="E53" s="3" t="s">
        <v>267</v>
      </c>
    </row>
    <row r="54" spans="1:5" ht="15">
      <c r="A54" s="6" t="s">
        <v>203</v>
      </c>
      <c r="B54" s="7" t="s">
        <v>161</v>
      </c>
      <c r="C54" s="121" t="s">
        <v>20</v>
      </c>
      <c r="D54" s="126">
        <f>12*20*0.05</f>
        <v>12</v>
      </c>
      <c r="E54" s="3" t="s">
        <v>267</v>
      </c>
    </row>
    <row r="55" spans="1:5" ht="15">
      <c r="A55" s="6" t="s">
        <v>204</v>
      </c>
      <c r="B55" s="7" t="s">
        <v>163</v>
      </c>
      <c r="C55" s="121" t="s">
        <v>20</v>
      </c>
      <c r="D55" s="126">
        <f>12*20*0.5</f>
        <v>120</v>
      </c>
      <c r="E55" s="3" t="s">
        <v>268</v>
      </c>
    </row>
    <row r="56" spans="1:5" ht="15">
      <c r="A56" s="69" t="s">
        <v>38</v>
      </c>
      <c r="B56" s="71" t="s">
        <v>164</v>
      </c>
      <c r="C56" s="72"/>
      <c r="D56" s="132"/>
      <c r="E56" s="133"/>
    </row>
    <row r="57" spans="1:5" ht="30">
      <c r="A57" s="6" t="s">
        <v>205</v>
      </c>
      <c r="B57" s="8" t="s">
        <v>166</v>
      </c>
      <c r="C57" s="121" t="s">
        <v>19</v>
      </c>
      <c r="D57" s="126">
        <f>(64*0.6)+(61*0.4)</f>
        <v>62.8</v>
      </c>
      <c r="E57" s="3" t="s">
        <v>269</v>
      </c>
    </row>
    <row r="58" spans="1:5" ht="15">
      <c r="A58" s="6" t="s">
        <v>206</v>
      </c>
      <c r="B58" s="7" t="s">
        <v>26</v>
      </c>
      <c r="C58" s="121" t="s">
        <v>19</v>
      </c>
      <c r="D58" s="126">
        <f>61*0.4*2</f>
        <v>48.800000000000004</v>
      </c>
      <c r="E58" s="3" t="s">
        <v>270</v>
      </c>
    </row>
    <row r="59" spans="1:5" ht="15">
      <c r="A59" s="6" t="s">
        <v>207</v>
      </c>
      <c r="B59" s="7" t="s">
        <v>27</v>
      </c>
      <c r="C59" s="121" t="s">
        <v>19</v>
      </c>
      <c r="D59" s="126">
        <f>61*0.4*2</f>
        <v>48.800000000000004</v>
      </c>
      <c r="E59" s="3" t="s">
        <v>270</v>
      </c>
    </row>
    <row r="60" spans="1:5" ht="15">
      <c r="A60" s="69" t="s">
        <v>39</v>
      </c>
      <c r="B60" s="71" t="s">
        <v>167</v>
      </c>
      <c r="C60" s="72"/>
      <c r="D60" s="132"/>
      <c r="E60" s="133"/>
    </row>
    <row r="61" spans="1:5" ht="30">
      <c r="A61" s="6" t="s">
        <v>208</v>
      </c>
      <c r="B61" s="131" t="s">
        <v>169</v>
      </c>
      <c r="C61" s="128" t="s">
        <v>11</v>
      </c>
      <c r="D61" s="126">
        <v>115</v>
      </c>
      <c r="E61" s="3" t="s">
        <v>191</v>
      </c>
    </row>
    <row r="62" spans="1:5" ht="30">
      <c r="A62" s="6" t="s">
        <v>209</v>
      </c>
      <c r="B62" s="8" t="s">
        <v>171</v>
      </c>
      <c r="C62" s="121" t="s">
        <v>19</v>
      </c>
      <c r="D62" s="126">
        <f>115*0.15*0.15</f>
        <v>2.5875</v>
      </c>
      <c r="E62" s="3" t="s">
        <v>192</v>
      </c>
    </row>
    <row r="63" spans="1:5" ht="30">
      <c r="A63" s="6" t="s">
        <v>210</v>
      </c>
      <c r="B63" s="8" t="s">
        <v>46</v>
      </c>
      <c r="C63" s="121" t="s">
        <v>20</v>
      </c>
      <c r="D63" s="126">
        <f>115*0.6</f>
        <v>69</v>
      </c>
      <c r="E63" s="3" t="s">
        <v>193</v>
      </c>
    </row>
    <row r="64" spans="1:5" ht="15">
      <c r="A64" s="69" t="s">
        <v>40</v>
      </c>
      <c r="B64" s="71" t="s">
        <v>172</v>
      </c>
      <c r="C64" s="72"/>
      <c r="D64" s="132"/>
      <c r="E64" s="133"/>
    </row>
    <row r="65" spans="1:5" ht="30">
      <c r="A65" s="6" t="s">
        <v>211</v>
      </c>
      <c r="B65" s="8" t="s">
        <v>174</v>
      </c>
      <c r="C65" s="128" t="s">
        <v>19</v>
      </c>
      <c r="D65" s="126">
        <f>(12+12+18.5+18.5)*4+6</f>
        <v>250</v>
      </c>
      <c r="E65" s="3" t="s">
        <v>271</v>
      </c>
    </row>
    <row r="66" spans="1:5" ht="30">
      <c r="A66" s="6" t="s">
        <v>212</v>
      </c>
      <c r="B66" s="8" t="s">
        <v>176</v>
      </c>
      <c r="C66" s="121" t="s">
        <v>19</v>
      </c>
      <c r="D66" s="126">
        <f>1.5*4</f>
        <v>6</v>
      </c>
      <c r="E66" s="3" t="s">
        <v>318</v>
      </c>
    </row>
    <row r="67" spans="1:5" ht="15">
      <c r="A67" s="71" t="s">
        <v>42</v>
      </c>
      <c r="B67" s="72" t="s">
        <v>237</v>
      </c>
      <c r="C67" s="73"/>
      <c r="D67" s="74"/>
      <c r="E67" s="75"/>
    </row>
    <row r="68" spans="1:5" ht="30">
      <c r="A68" s="6" t="s">
        <v>43</v>
      </c>
      <c r="B68" s="8" t="s">
        <v>46</v>
      </c>
      <c r="C68" s="24" t="s">
        <v>20</v>
      </c>
      <c r="D68" s="126">
        <f>65.8*0.15*0.2</f>
        <v>1.974</v>
      </c>
      <c r="E68" s="3" t="s">
        <v>272</v>
      </c>
    </row>
    <row r="69" spans="1:5" ht="15">
      <c r="A69" s="6" t="s">
        <v>238</v>
      </c>
      <c r="B69" s="25" t="s">
        <v>47</v>
      </c>
      <c r="C69" s="24" t="s">
        <v>20</v>
      </c>
      <c r="D69" s="126">
        <f>65.8*0.15*0.05</f>
        <v>0.4935</v>
      </c>
      <c r="E69" s="3" t="s">
        <v>273</v>
      </c>
    </row>
    <row r="70" spans="1:5" ht="30">
      <c r="A70" s="6" t="s">
        <v>239</v>
      </c>
      <c r="B70" s="25" t="s">
        <v>48</v>
      </c>
      <c r="C70" s="24" t="s">
        <v>20</v>
      </c>
      <c r="D70" s="126">
        <f>(51.7*0.15*0.6)+(14.1*0.15*0.4)</f>
        <v>5.499</v>
      </c>
      <c r="E70" s="3" t="s">
        <v>274</v>
      </c>
    </row>
    <row r="71" spans="1:5" ht="30">
      <c r="A71" s="6" t="s">
        <v>240</v>
      </c>
      <c r="B71" s="3" t="s">
        <v>49</v>
      </c>
      <c r="C71" s="24" t="s">
        <v>20</v>
      </c>
      <c r="D71" s="126">
        <f>(51.7*0.15*0.6)+(14.1*0.15*0.4)</f>
        <v>5.499</v>
      </c>
      <c r="E71" s="3" t="s">
        <v>274</v>
      </c>
    </row>
    <row r="72" spans="1:5" ht="15">
      <c r="A72" s="6" t="s">
        <v>241</v>
      </c>
      <c r="B72" s="25" t="s">
        <v>50</v>
      </c>
      <c r="C72" s="24" t="s">
        <v>19</v>
      </c>
      <c r="D72" s="146">
        <f>(51.7*0.6*2)+(14.1*0.4*2)</f>
        <v>73.32</v>
      </c>
      <c r="E72" s="147" t="s">
        <v>275</v>
      </c>
    </row>
    <row r="73" spans="1:5" ht="15">
      <c r="A73" s="6" t="s">
        <v>242</v>
      </c>
      <c r="B73" s="25" t="s">
        <v>51</v>
      </c>
      <c r="C73" s="24" t="s">
        <v>14</v>
      </c>
      <c r="D73" s="146">
        <f>D71*60</f>
        <v>329.94</v>
      </c>
      <c r="E73" s="147" t="s">
        <v>244</v>
      </c>
    </row>
    <row r="74" spans="1:5" ht="15">
      <c r="A74" s="6" t="s">
        <v>243</v>
      </c>
      <c r="B74" s="25" t="s">
        <v>96</v>
      </c>
      <c r="C74" s="148" t="s">
        <v>19</v>
      </c>
      <c r="D74" s="126">
        <f>(51.7*0.4*2)+(14.1*0.2*2)</f>
        <v>47.00000000000001</v>
      </c>
      <c r="E74" s="3" t="s">
        <v>276</v>
      </c>
    </row>
    <row r="75" spans="1:5" ht="15">
      <c r="A75" s="166" t="s">
        <v>299</v>
      </c>
      <c r="B75" s="167" t="s">
        <v>300</v>
      </c>
      <c r="C75" s="168"/>
      <c r="D75" s="169"/>
      <c r="E75" s="170"/>
    </row>
    <row r="76" spans="1:5" ht="30">
      <c r="A76" s="6" t="s">
        <v>301</v>
      </c>
      <c r="B76" s="8" t="s">
        <v>46</v>
      </c>
      <c r="C76" s="24" t="s">
        <v>20</v>
      </c>
      <c r="D76" s="126">
        <f>1*0.5*0.5*4</f>
        <v>1</v>
      </c>
      <c r="E76" s="3" t="s">
        <v>393</v>
      </c>
    </row>
    <row r="77" spans="1:5" ht="30">
      <c r="A77" s="6" t="s">
        <v>302</v>
      </c>
      <c r="B77" s="25" t="s">
        <v>48</v>
      </c>
      <c r="C77" s="24" t="s">
        <v>20</v>
      </c>
      <c r="D77" s="126">
        <f>1*0.5*0.5*4</f>
        <v>1</v>
      </c>
      <c r="E77" s="3" t="s">
        <v>394</v>
      </c>
    </row>
    <row r="78" spans="1:5" ht="30">
      <c r="A78" s="6" t="s">
        <v>303</v>
      </c>
      <c r="B78" s="3" t="s">
        <v>49</v>
      </c>
      <c r="C78" s="24" t="s">
        <v>20</v>
      </c>
      <c r="D78" s="126">
        <f>1*0.5*0.5*4</f>
        <v>1</v>
      </c>
      <c r="E78" s="3" t="s">
        <v>395</v>
      </c>
    </row>
    <row r="79" spans="1:5" ht="30">
      <c r="A79" s="6" t="s">
        <v>304</v>
      </c>
      <c r="B79" s="3" t="s">
        <v>292</v>
      </c>
      <c r="C79" s="9" t="s">
        <v>11</v>
      </c>
      <c r="D79" s="126">
        <f>4*3.5</f>
        <v>14</v>
      </c>
      <c r="E79" s="3" t="s">
        <v>396</v>
      </c>
    </row>
    <row r="80" spans="1:5" ht="30">
      <c r="A80" s="6" t="s">
        <v>305</v>
      </c>
      <c r="B80" s="3" t="s">
        <v>293</v>
      </c>
      <c r="C80" s="9" t="s">
        <v>11</v>
      </c>
      <c r="D80" s="126">
        <f>2*2.4</f>
        <v>4.8</v>
      </c>
      <c r="E80" s="3" t="s">
        <v>397</v>
      </c>
    </row>
    <row r="81" spans="1:5" ht="30">
      <c r="A81" s="6" t="s">
        <v>306</v>
      </c>
      <c r="B81" s="3" t="s">
        <v>294</v>
      </c>
      <c r="C81" s="9" t="s">
        <v>11</v>
      </c>
      <c r="D81" s="126">
        <f>13*3.5</f>
        <v>45.5</v>
      </c>
      <c r="E81" s="3" t="s">
        <v>398</v>
      </c>
    </row>
    <row r="82" spans="1:5" ht="30">
      <c r="A82" s="6" t="s">
        <v>307</v>
      </c>
      <c r="B82" s="3" t="s">
        <v>296</v>
      </c>
      <c r="C82" s="9" t="s">
        <v>11</v>
      </c>
      <c r="D82" s="126">
        <f>D81+D80+D79</f>
        <v>64.3</v>
      </c>
      <c r="E82" s="3" t="s">
        <v>309</v>
      </c>
    </row>
    <row r="83" spans="1:5" ht="15">
      <c r="A83" s="6" t="s">
        <v>308</v>
      </c>
      <c r="B83" s="3" t="s">
        <v>298</v>
      </c>
      <c r="C83" s="9" t="s">
        <v>11</v>
      </c>
      <c r="D83" s="126">
        <f>16+5+40.04/2</f>
        <v>41.019999999999996</v>
      </c>
      <c r="E83" s="3" t="s">
        <v>310</v>
      </c>
    </row>
    <row r="84" spans="1:5" ht="15">
      <c r="A84" s="172"/>
      <c r="B84" s="173" t="s">
        <v>312</v>
      </c>
      <c r="C84" s="174"/>
      <c r="D84" s="169"/>
      <c r="E84" s="170"/>
    </row>
    <row r="85" spans="1:5" ht="15">
      <c r="A85" s="172"/>
      <c r="B85" s="173" t="s">
        <v>45</v>
      </c>
      <c r="C85" s="174"/>
      <c r="D85" s="169"/>
      <c r="E85" s="170"/>
    </row>
    <row r="86" spans="1:5" ht="15">
      <c r="A86" s="1"/>
      <c r="B86" s="8" t="s">
        <v>150</v>
      </c>
      <c r="C86" s="148" t="s">
        <v>11</v>
      </c>
      <c r="D86" s="126">
        <f>28*2</f>
        <v>56</v>
      </c>
      <c r="E86" s="3" t="s">
        <v>323</v>
      </c>
    </row>
    <row r="87" spans="1:5" ht="30">
      <c r="A87" s="1"/>
      <c r="B87" s="8" t="s">
        <v>46</v>
      </c>
      <c r="C87" s="148" t="s">
        <v>20</v>
      </c>
      <c r="D87" s="126">
        <f>55.22*0.3*0.2</f>
        <v>3.3132</v>
      </c>
      <c r="E87" s="3" t="s">
        <v>319</v>
      </c>
    </row>
    <row r="88" spans="1:5" ht="30">
      <c r="A88" s="1"/>
      <c r="B88" s="8" t="s">
        <v>151</v>
      </c>
      <c r="C88" s="148" t="s">
        <v>19</v>
      </c>
      <c r="D88" s="126">
        <f>55.22*0.2</f>
        <v>11.044</v>
      </c>
      <c r="E88" s="3" t="s">
        <v>320</v>
      </c>
    </row>
    <row r="89" spans="1:5" ht="15">
      <c r="A89" s="1"/>
      <c r="B89" s="8" t="s">
        <v>47</v>
      </c>
      <c r="C89" s="148" t="s">
        <v>20</v>
      </c>
      <c r="D89" s="126">
        <f>55.22*0.2*0.05</f>
        <v>0.5522</v>
      </c>
      <c r="E89" s="3" t="s">
        <v>321</v>
      </c>
    </row>
    <row r="90" spans="1:5" ht="15">
      <c r="A90" s="1"/>
      <c r="B90" s="8" t="s">
        <v>50</v>
      </c>
      <c r="C90" s="148" t="s">
        <v>19</v>
      </c>
      <c r="D90" s="126">
        <f>55.22*0.3*2</f>
        <v>33.132</v>
      </c>
      <c r="E90" s="3" t="s">
        <v>322</v>
      </c>
    </row>
    <row r="91" spans="1:5" ht="15">
      <c r="A91" s="1"/>
      <c r="B91" s="8" t="s">
        <v>152</v>
      </c>
      <c r="C91" s="148" t="s">
        <v>20</v>
      </c>
      <c r="D91" s="126">
        <f>55.22*0.3*0.2</f>
        <v>3.3132</v>
      </c>
      <c r="E91" s="3" t="s">
        <v>319</v>
      </c>
    </row>
    <row r="92" spans="1:5" ht="30">
      <c r="A92" s="1"/>
      <c r="B92" s="8" t="s">
        <v>49</v>
      </c>
      <c r="C92" s="148" t="s">
        <v>20</v>
      </c>
      <c r="D92" s="126">
        <f>55.22*0.3*0.2</f>
        <v>3.3132</v>
      </c>
      <c r="E92" s="3" t="s">
        <v>319</v>
      </c>
    </row>
    <row r="93" spans="1:5" ht="15">
      <c r="A93" s="1"/>
      <c r="B93" s="8" t="s">
        <v>153</v>
      </c>
      <c r="C93" s="128" t="s">
        <v>14</v>
      </c>
      <c r="D93" s="126">
        <f>D91*100</f>
        <v>331.32</v>
      </c>
      <c r="E93" s="3" t="s">
        <v>190</v>
      </c>
    </row>
    <row r="94" spans="1:5" ht="15">
      <c r="A94" s="172"/>
      <c r="B94" s="173" t="s">
        <v>154</v>
      </c>
      <c r="C94" s="174"/>
      <c r="D94" s="132"/>
      <c r="E94" s="133" t="s">
        <v>332</v>
      </c>
    </row>
    <row r="95" spans="1:5" ht="15">
      <c r="A95" s="1"/>
      <c r="B95" s="7" t="s">
        <v>50</v>
      </c>
      <c r="C95" s="148" t="s">
        <v>19</v>
      </c>
      <c r="D95" s="53">
        <f>0.4*2.2*28</f>
        <v>24.640000000000004</v>
      </c>
      <c r="E95" s="45" t="s">
        <v>330</v>
      </c>
    </row>
    <row r="96" spans="1:5" ht="15">
      <c r="A96" s="1"/>
      <c r="B96" s="7" t="s">
        <v>152</v>
      </c>
      <c r="C96" s="148" t="s">
        <v>20</v>
      </c>
      <c r="D96" s="53">
        <f>0.2*0.2*2.2*28</f>
        <v>2.4640000000000004</v>
      </c>
      <c r="E96" s="45" t="s">
        <v>331</v>
      </c>
    </row>
    <row r="97" spans="1:5" ht="15">
      <c r="A97" s="1"/>
      <c r="B97" s="7" t="s">
        <v>49</v>
      </c>
      <c r="C97" s="148" t="s">
        <v>20</v>
      </c>
      <c r="D97" s="53">
        <f>0.2*0.2*2.2*28</f>
        <v>2.4640000000000004</v>
      </c>
      <c r="E97" s="45" t="s">
        <v>331</v>
      </c>
    </row>
    <row r="98" spans="1:5" ht="15">
      <c r="A98" s="1"/>
      <c r="B98" s="7" t="s">
        <v>153</v>
      </c>
      <c r="C98" s="128" t="s">
        <v>14</v>
      </c>
      <c r="D98" s="53">
        <f>D97*100</f>
        <v>246.40000000000003</v>
      </c>
      <c r="E98" s="45" t="s">
        <v>190</v>
      </c>
    </row>
    <row r="99" spans="1:5" ht="15">
      <c r="A99" s="172"/>
      <c r="B99" s="173" t="s">
        <v>329</v>
      </c>
      <c r="C99" s="174"/>
      <c r="D99" s="169"/>
      <c r="E99" s="170"/>
    </row>
    <row r="100" spans="1:5" ht="30">
      <c r="A100" s="1"/>
      <c r="B100" s="8" t="s">
        <v>166</v>
      </c>
      <c r="C100" s="148" t="s">
        <v>19</v>
      </c>
      <c r="D100" s="126">
        <f>55.22*2.2</f>
        <v>121.48400000000001</v>
      </c>
      <c r="E100" s="3" t="s">
        <v>324</v>
      </c>
    </row>
    <row r="101" spans="1:5" ht="15">
      <c r="A101" s="1"/>
      <c r="B101" s="7" t="s">
        <v>26</v>
      </c>
      <c r="C101" s="148" t="s">
        <v>19</v>
      </c>
      <c r="D101" s="126">
        <f>(121.48*2)+(13.3*5)</f>
        <v>309.46000000000004</v>
      </c>
      <c r="E101" s="3" t="s">
        <v>325</v>
      </c>
    </row>
    <row r="102" spans="1:5" ht="15">
      <c r="A102" s="1"/>
      <c r="B102" s="7" t="s">
        <v>27</v>
      </c>
      <c r="C102" s="148" t="s">
        <v>19</v>
      </c>
      <c r="D102" s="126">
        <f>(121.48*2)+(13.3*5)</f>
        <v>309.46000000000004</v>
      </c>
      <c r="E102" s="3" t="s">
        <v>325</v>
      </c>
    </row>
    <row r="103" spans="1:5" ht="15">
      <c r="A103" s="172"/>
      <c r="B103" s="173" t="s">
        <v>334</v>
      </c>
      <c r="C103" s="174"/>
      <c r="D103" s="169"/>
      <c r="E103" s="170"/>
    </row>
    <row r="104" spans="1:5" ht="15">
      <c r="A104" s="172"/>
      <c r="B104" s="173" t="s">
        <v>45</v>
      </c>
      <c r="C104" s="174"/>
      <c r="D104" s="169"/>
      <c r="E104" s="170"/>
    </row>
    <row r="105" spans="1:5" ht="15">
      <c r="A105" s="1"/>
      <c r="B105" s="8" t="s">
        <v>150</v>
      </c>
      <c r="C105" s="148" t="s">
        <v>11</v>
      </c>
      <c r="D105" s="126">
        <f>11*2</f>
        <v>22</v>
      </c>
      <c r="E105" s="3" t="s">
        <v>338</v>
      </c>
    </row>
    <row r="106" spans="1:5" ht="30">
      <c r="A106" s="1"/>
      <c r="B106" s="8" t="s">
        <v>46</v>
      </c>
      <c r="C106" s="148" t="s">
        <v>20</v>
      </c>
      <c r="D106" s="126">
        <f>22*0.3*0.2</f>
        <v>1.32</v>
      </c>
      <c r="E106" s="3" t="s">
        <v>339</v>
      </c>
    </row>
    <row r="107" spans="1:5" ht="30">
      <c r="A107" s="1"/>
      <c r="B107" s="8" t="s">
        <v>151</v>
      </c>
      <c r="C107" s="148" t="s">
        <v>19</v>
      </c>
      <c r="D107" s="126">
        <f>22*0.2</f>
        <v>4.4</v>
      </c>
      <c r="E107" s="3" t="s">
        <v>340</v>
      </c>
    </row>
    <row r="108" spans="1:5" ht="15">
      <c r="A108" s="1"/>
      <c r="B108" s="8" t="s">
        <v>47</v>
      </c>
      <c r="C108" s="148" t="s">
        <v>20</v>
      </c>
      <c r="D108" s="126">
        <f>22*0.2*0.05</f>
        <v>0.22000000000000003</v>
      </c>
      <c r="E108" s="3" t="s">
        <v>341</v>
      </c>
    </row>
    <row r="109" spans="1:5" ht="15">
      <c r="A109" s="1"/>
      <c r="B109" s="8" t="s">
        <v>50</v>
      </c>
      <c r="C109" s="148" t="s">
        <v>19</v>
      </c>
      <c r="D109" s="126">
        <f>22*0.3*2</f>
        <v>13.2</v>
      </c>
      <c r="E109" s="3" t="s">
        <v>342</v>
      </c>
    </row>
    <row r="110" spans="1:5" ht="15">
      <c r="A110" s="1"/>
      <c r="B110" s="8" t="s">
        <v>152</v>
      </c>
      <c r="C110" s="148" t="s">
        <v>20</v>
      </c>
      <c r="D110" s="126">
        <f>22*0.3*0.2</f>
        <v>1.32</v>
      </c>
      <c r="E110" s="3" t="s">
        <v>343</v>
      </c>
    </row>
    <row r="111" spans="1:5" ht="30">
      <c r="A111" s="1"/>
      <c r="B111" s="8" t="s">
        <v>49</v>
      </c>
      <c r="C111" s="148" t="s">
        <v>20</v>
      </c>
      <c r="D111" s="126">
        <f>22*0.3*0.2</f>
        <v>1.32</v>
      </c>
      <c r="E111" s="3" t="s">
        <v>344</v>
      </c>
    </row>
    <row r="112" spans="1:5" ht="15">
      <c r="A112" s="1"/>
      <c r="B112" s="8" t="s">
        <v>153</v>
      </c>
      <c r="C112" s="128" t="s">
        <v>14</v>
      </c>
      <c r="D112" s="126">
        <f>D110*100</f>
        <v>132</v>
      </c>
      <c r="E112" s="3" t="s">
        <v>190</v>
      </c>
    </row>
    <row r="113" spans="1:5" ht="15">
      <c r="A113" s="172"/>
      <c r="B113" s="173" t="s">
        <v>154</v>
      </c>
      <c r="C113" s="174"/>
      <c r="D113" s="132"/>
      <c r="E113" s="133" t="s">
        <v>345</v>
      </c>
    </row>
    <row r="114" spans="1:5" ht="15">
      <c r="A114" s="1"/>
      <c r="B114" s="7" t="s">
        <v>50</v>
      </c>
      <c r="C114" s="148" t="s">
        <v>19</v>
      </c>
      <c r="D114" s="53">
        <f>0.4*1.5*11</f>
        <v>6.600000000000001</v>
      </c>
      <c r="E114" s="45" t="s">
        <v>346</v>
      </c>
    </row>
    <row r="115" spans="1:5" ht="15">
      <c r="A115" s="1"/>
      <c r="B115" s="7" t="s">
        <v>152</v>
      </c>
      <c r="C115" s="148" t="s">
        <v>20</v>
      </c>
      <c r="D115" s="53">
        <f>0.2*0.2*1.5*11</f>
        <v>0.6600000000000001</v>
      </c>
      <c r="E115" s="45" t="s">
        <v>347</v>
      </c>
    </row>
    <row r="116" spans="1:5" ht="15">
      <c r="A116" s="1"/>
      <c r="B116" s="7" t="s">
        <v>49</v>
      </c>
      <c r="C116" s="148" t="s">
        <v>20</v>
      </c>
      <c r="D116" s="53">
        <f>0.2*0.2*1.5*11</f>
        <v>0.6600000000000001</v>
      </c>
      <c r="E116" s="45" t="s">
        <v>347</v>
      </c>
    </row>
    <row r="117" spans="1:5" ht="15">
      <c r="A117" s="1"/>
      <c r="B117" s="7" t="s">
        <v>153</v>
      </c>
      <c r="C117" s="128" t="s">
        <v>14</v>
      </c>
      <c r="D117" s="53">
        <f>D116*100</f>
        <v>66.00000000000001</v>
      </c>
      <c r="E117" s="45" t="s">
        <v>190</v>
      </c>
    </row>
    <row r="118" spans="1:5" ht="15">
      <c r="A118" s="172"/>
      <c r="B118" s="173" t="s">
        <v>329</v>
      </c>
      <c r="C118" s="174"/>
      <c r="D118" s="169"/>
      <c r="E118" s="170"/>
    </row>
    <row r="119" spans="1:5" ht="15">
      <c r="A119" s="1"/>
      <c r="B119" t="s">
        <v>348</v>
      </c>
      <c r="C119" s="148" t="s">
        <v>19</v>
      </c>
      <c r="D119" s="126">
        <f>22*1.5</f>
        <v>33</v>
      </c>
      <c r="E119" s="3" t="s">
        <v>350</v>
      </c>
    </row>
    <row r="120" spans="1:5" ht="15">
      <c r="A120" s="1"/>
      <c r="B120" s="7" t="s">
        <v>26</v>
      </c>
      <c r="C120" s="148" t="s">
        <v>19</v>
      </c>
      <c r="D120" s="126">
        <f>22*1.5</f>
        <v>33</v>
      </c>
      <c r="E120" s="3" t="s">
        <v>351</v>
      </c>
    </row>
    <row r="121" spans="1:5" ht="15">
      <c r="A121" s="1"/>
      <c r="B121" s="7" t="s">
        <v>27</v>
      </c>
      <c r="C121" s="148" t="s">
        <v>19</v>
      </c>
      <c r="D121" s="126">
        <f>22*1.5</f>
        <v>33</v>
      </c>
      <c r="E121" s="3" t="s">
        <v>352</v>
      </c>
    </row>
  </sheetData>
  <conditionalFormatting sqref="B2 B16:B17 C22:C24 A7:A20">
    <cfRule type="expression" priority="444" dxfId="1">
      <formula>IF($L2="I",TRUE,FALSE)</formula>
    </cfRule>
    <cfRule type="expression" priority="444" dxfId="0">
      <formula>IF($L2="T",TRUE,FALSE)</formula>
    </cfRule>
  </conditionalFormatting>
  <conditionalFormatting sqref="B4">
    <cfRule type="expression" priority="371" dxfId="1">
      <formula>IF($L4="I",TRUE,FALSE)</formula>
    </cfRule>
    <cfRule type="expression" priority="372" dxfId="0">
      <formula>IF($L4="T",TRUE,FALSE)</formula>
    </cfRule>
  </conditionalFormatting>
  <conditionalFormatting sqref="B15">
    <cfRule type="expression" priority="367" dxfId="1">
      <formula>IF($L15="I",TRUE,FALSE)</formula>
    </cfRule>
  </conditionalFormatting>
  <conditionalFormatting sqref="A3">
    <cfRule type="expression" priority="257" dxfId="1">
      <formula>IF($L3="I",TRUE,FALSE)</formula>
    </cfRule>
    <cfRule type="expression" priority="258" dxfId="0">
      <formula>IF($L3="T",TRUE,FALSE)</formula>
    </cfRule>
  </conditionalFormatting>
  <conditionalFormatting sqref="A2 A4:A5">
    <cfRule type="expression" priority="273" dxfId="1">
      <formula>IF($L2="I",TRUE,FALSE)</formula>
    </cfRule>
    <cfRule type="expression" priority="274" dxfId="0">
      <formula>IF($L2="T",TRUE,FALSE)</formula>
    </cfRule>
  </conditionalFormatting>
  <conditionalFormatting sqref="A21">
    <cfRule type="expression" priority="263" dxfId="1">
      <formula>IF($L21="I",TRUE,FALSE)</formula>
    </cfRule>
    <cfRule type="expression" priority="264" dxfId="0">
      <formula>IF($L21="T",TRUE,FALSE)</formula>
    </cfRule>
  </conditionalFormatting>
  <conditionalFormatting sqref="A6">
    <cfRule type="expression" priority="255" dxfId="1">
      <formula>IF($L6="I",TRUE,FALSE)</formula>
    </cfRule>
    <cfRule type="expression" priority="256" dxfId="0">
      <formula>IF($L6="T",TRUE,FALSE)</formula>
    </cfRule>
  </conditionalFormatting>
  <conditionalFormatting sqref="C7 C4:C5">
    <cfRule type="expression" priority="181" dxfId="1">
      <formula>IF($L4="I",TRUE,FALSE)</formula>
    </cfRule>
    <cfRule type="expression" priority="182" dxfId="0">
      <formula>IF($L4="T",TRUE,FALSE)</formula>
    </cfRule>
  </conditionalFormatting>
  <conditionalFormatting sqref="C3">
    <cfRule type="expression" priority="179" dxfId="1">
      <formula>IF($L3="I",TRUE,FALSE)</formula>
    </cfRule>
    <cfRule type="expression" priority="180" dxfId="0">
      <formula>IF($L3="T",TRUE,FALSE)</formula>
    </cfRule>
  </conditionalFormatting>
  <conditionalFormatting sqref="C6">
    <cfRule type="expression" priority="177" dxfId="1">
      <formula>IF($L6="I",TRUE,FALSE)</formula>
    </cfRule>
    <cfRule type="expression" priority="178" dxfId="0">
      <formula>IF($L6="T",TRUE,FALSE)</formula>
    </cfRule>
  </conditionalFormatting>
  <conditionalFormatting sqref="C27:C29">
    <cfRule type="expression" priority="113" dxfId="1">
      <formula>IF($L27="I",TRUE,FALSE)</formula>
    </cfRule>
    <cfRule type="expression" priority="114" dxfId="0">
      <formula>IF($L27="T",TRUE,FALSE)</formula>
    </cfRule>
  </conditionalFormatting>
  <conditionalFormatting sqref="B25">
    <cfRule type="expression" priority="107" dxfId="1">
      <formula>IF($L25="I",TRUE,FALSE)</formula>
    </cfRule>
    <cfRule type="expression" priority="108" dxfId="0">
      <formula>IF($L25="T",TRUE,FALSE)</formula>
    </cfRule>
  </conditionalFormatting>
  <conditionalFormatting sqref="B26">
    <cfRule type="expression" priority="105" dxfId="1">
      <formula>IF($L26="I",TRUE,FALSE)</formula>
    </cfRule>
    <cfRule type="expression" priority="106" dxfId="0">
      <formula>IF($L26="T",TRUE,FALSE)</formula>
    </cfRule>
  </conditionalFormatting>
  <conditionalFormatting sqref="C33">
    <cfRule type="expression" priority="103" dxfId="1">
      <formula>IF($L33="I",TRUE,FALSE)</formula>
    </cfRule>
    <cfRule type="expression" priority="104" dxfId="0">
      <formula>IF($L33="T",TRUE,FALSE)</formula>
    </cfRule>
  </conditionalFormatting>
  <conditionalFormatting sqref="C36:C44">
    <cfRule type="expression" priority="101" dxfId="1">
      <formula>IF($L36="I",TRUE,FALSE)</formula>
    </cfRule>
    <cfRule type="expression" priority="102" dxfId="0">
      <formula>IF($L36="T",TRUE,FALSE)</formula>
    </cfRule>
  </conditionalFormatting>
  <conditionalFormatting sqref="C34">
    <cfRule type="expression" priority="99" dxfId="1">
      <formula>IF($L34="I",TRUE,FALSE)</formula>
    </cfRule>
    <cfRule type="expression" priority="100" dxfId="0">
      <formula>IF($L34="T",TRUE,FALSE)</formula>
    </cfRule>
  </conditionalFormatting>
  <conditionalFormatting sqref="C35">
    <cfRule type="expression" priority="97" dxfId="1">
      <formula>IF($L35="I",TRUE,FALSE)</formula>
    </cfRule>
    <cfRule type="expression" priority="98" dxfId="0">
      <formula>IF($L35="T",TRUE,FALSE)</formula>
    </cfRule>
  </conditionalFormatting>
  <conditionalFormatting sqref="C45">
    <cfRule type="expression" priority="95" dxfId="1">
      <formula>IF($L45="I",TRUE,FALSE)</formula>
    </cfRule>
    <cfRule type="expression" priority="96" dxfId="0">
      <formula>IF($L45="T",TRUE,FALSE)</formula>
    </cfRule>
  </conditionalFormatting>
  <conditionalFormatting sqref="C46:C49">
    <cfRule type="expression" priority="93" dxfId="1">
      <formula>IF($L46="I",TRUE,FALSE)</formula>
    </cfRule>
    <cfRule type="expression" priority="94" dxfId="0">
      <formula>IF($L46="T",TRUE,FALSE)</formula>
    </cfRule>
  </conditionalFormatting>
  <conditionalFormatting sqref="C50">
    <cfRule type="expression" priority="91" dxfId="1">
      <formula>IF($L50="I",TRUE,FALSE)</formula>
    </cfRule>
    <cfRule type="expression" priority="92" dxfId="0">
      <formula>IF($L50="T",TRUE,FALSE)</formula>
    </cfRule>
  </conditionalFormatting>
  <conditionalFormatting sqref="C51:C55">
    <cfRule type="expression" priority="89" dxfId="1">
      <formula>IF($L51="I",TRUE,FALSE)</formula>
    </cfRule>
    <cfRule type="expression" priority="90" dxfId="0">
      <formula>IF($L51="T",TRUE,FALSE)</formula>
    </cfRule>
  </conditionalFormatting>
  <conditionalFormatting sqref="C56">
    <cfRule type="expression" priority="87" dxfId="1">
      <formula>IF($L56="I",TRUE,FALSE)</formula>
    </cfRule>
    <cfRule type="expression" priority="88" dxfId="0">
      <formula>IF($L56="T",TRUE,FALSE)</formula>
    </cfRule>
  </conditionalFormatting>
  <conditionalFormatting sqref="C57:C59">
    <cfRule type="expression" priority="85" dxfId="1">
      <formula>IF($L57="I",TRUE,FALSE)</formula>
    </cfRule>
    <cfRule type="expression" priority="86" dxfId="0">
      <formula>IF($L57="T",TRUE,FALSE)</formula>
    </cfRule>
  </conditionalFormatting>
  <conditionalFormatting sqref="C60">
    <cfRule type="expression" priority="83" dxfId="1">
      <formula>IF($L60="I",TRUE,FALSE)</formula>
    </cfRule>
    <cfRule type="expression" priority="84" dxfId="0">
      <formula>IF($L60="T",TRUE,FALSE)</formula>
    </cfRule>
  </conditionalFormatting>
  <conditionalFormatting sqref="C61:C63">
    <cfRule type="expression" priority="81" dxfId="1">
      <formula>IF($L61="I",TRUE,FALSE)</formula>
    </cfRule>
    <cfRule type="expression" priority="82" dxfId="0">
      <formula>IF($L61="T",TRUE,FALSE)</formula>
    </cfRule>
  </conditionalFormatting>
  <conditionalFormatting sqref="C64">
    <cfRule type="expression" priority="79" dxfId="1">
      <formula>IF($L64="I",TRUE,FALSE)</formula>
    </cfRule>
    <cfRule type="expression" priority="80" dxfId="0">
      <formula>IF($L64="T",TRUE,FALSE)</formula>
    </cfRule>
  </conditionalFormatting>
  <conditionalFormatting sqref="C65:C66">
    <cfRule type="expression" priority="77" dxfId="1">
      <formula>IF($L65="I",TRUE,FALSE)</formula>
    </cfRule>
    <cfRule type="expression" priority="78" dxfId="0">
      <formula>IF($L65="T",TRUE,FALSE)</formula>
    </cfRule>
  </conditionalFormatting>
  <conditionalFormatting sqref="A33 A65:A66">
    <cfRule type="expression" priority="73" dxfId="1">
      <formula>IF($L33="I",TRUE,FALSE)</formula>
    </cfRule>
    <cfRule type="expression" priority="74" dxfId="0">
      <formula>IF($L33="T",TRUE,FALSE)</formula>
    </cfRule>
  </conditionalFormatting>
  <conditionalFormatting sqref="A36:A44 A46:A49 A51:A55 A57:A59 A61:A63">
    <cfRule type="expression" priority="71" dxfId="1">
      <formula>IF($L36="I",TRUE,FALSE)</formula>
    </cfRule>
    <cfRule type="expression" priority="72" dxfId="0">
      <formula>IF($L36="T",TRUE,FALSE)</formula>
    </cfRule>
  </conditionalFormatting>
  <conditionalFormatting sqref="A36:A44 A46:A49 A51:A55 A57:A59 A61:A63 A65:A66">
    <cfRule type="expression" priority="75" dxfId="1">
      <formula>IF(#REF!="I",TRUE,FALSE)</formula>
    </cfRule>
    <cfRule type="expression" priority="76" dxfId="0">
      <formula>IF(#REF!="T",TRUE,FALSE)</formula>
    </cfRule>
  </conditionalFormatting>
  <conditionalFormatting sqref="A34">
    <cfRule type="expression" priority="69" dxfId="1">
      <formula>IF($L34="I",TRUE,FALSE)</formula>
    </cfRule>
    <cfRule type="expression" priority="70" dxfId="0">
      <formula>IF($L34="T",TRUE,FALSE)</formula>
    </cfRule>
  </conditionalFormatting>
  <conditionalFormatting sqref="A35">
    <cfRule type="expression" priority="67" dxfId="1">
      <formula>IF($L35="I",TRUE,FALSE)</formula>
    </cfRule>
    <cfRule type="expression" priority="68" dxfId="0">
      <formula>IF($L35="T",TRUE,FALSE)</formula>
    </cfRule>
  </conditionalFormatting>
  <conditionalFormatting sqref="A45">
    <cfRule type="expression" priority="65" dxfId="1">
      <formula>IF($L45="I",TRUE,FALSE)</formula>
    </cfRule>
    <cfRule type="expression" priority="66" dxfId="0">
      <formula>IF($L45="T",TRUE,FALSE)</formula>
    </cfRule>
  </conditionalFormatting>
  <conditionalFormatting sqref="A50">
    <cfRule type="expression" priority="63" dxfId="1">
      <formula>IF($L50="I",TRUE,FALSE)</formula>
    </cfRule>
    <cfRule type="expression" priority="64" dxfId="0">
      <formula>IF($L50="T",TRUE,FALSE)</formula>
    </cfRule>
  </conditionalFormatting>
  <conditionalFormatting sqref="A56">
    <cfRule type="expression" priority="61" dxfId="1">
      <formula>IF($L56="I",TRUE,FALSE)</formula>
    </cfRule>
    <cfRule type="expression" priority="62" dxfId="0">
      <formula>IF($L56="T",TRUE,FALSE)</formula>
    </cfRule>
  </conditionalFormatting>
  <conditionalFormatting sqref="A60">
    <cfRule type="expression" priority="59" dxfId="1">
      <formula>IF($L60="I",TRUE,FALSE)</formula>
    </cfRule>
    <cfRule type="expression" priority="60" dxfId="0">
      <formula>IF($L60="T",TRUE,FALSE)</formula>
    </cfRule>
  </conditionalFormatting>
  <conditionalFormatting sqref="A64">
    <cfRule type="expression" priority="57" dxfId="1">
      <formula>IF($L64="I",TRUE,FALSE)</formula>
    </cfRule>
    <cfRule type="expression" priority="58" dxfId="0">
      <formula>IF($L64="T",TRUE,FALSE)</formula>
    </cfRule>
  </conditionalFormatting>
  <conditionalFormatting sqref="A22:A32">
    <cfRule type="expression" priority="55" dxfId="1">
      <formula>IF($L22="I",TRUE,FALSE)</formula>
    </cfRule>
    <cfRule type="expression" priority="56" dxfId="0">
      <formula>IF($L22="T",TRUE,FALSE)</formula>
    </cfRule>
  </conditionalFormatting>
  <conditionalFormatting sqref="B68">
    <cfRule type="expression" priority="53" dxfId="1">
      <formula>IF($L68="I",TRUE,FALSE)</formula>
    </cfRule>
    <cfRule type="expression" priority="54" dxfId="0">
      <formula>IF($L68="T",TRUE,FALSE)</formula>
    </cfRule>
  </conditionalFormatting>
  <conditionalFormatting sqref="B69:B70">
    <cfRule type="expression" priority="51" dxfId="1">
      <formula>IF($L69="I",TRUE,FALSE)</formula>
    </cfRule>
    <cfRule type="expression" priority="52" dxfId="0">
      <formula>IF($L69="T",TRUE,FALSE)</formula>
    </cfRule>
  </conditionalFormatting>
  <conditionalFormatting sqref="B72:B73">
    <cfRule type="expression" priority="49" dxfId="1">
      <formula>IF($L72="I",TRUE,FALSE)</formula>
    </cfRule>
    <cfRule type="expression" priority="50" dxfId="0">
      <formula>IF($L72="T",TRUE,FALSE)</formula>
    </cfRule>
  </conditionalFormatting>
  <conditionalFormatting sqref="B67:D67">
    <cfRule type="expression" priority="47" dxfId="1">
      <formula>IF($L67="I",TRUE,FALSE)</formula>
    </cfRule>
    <cfRule type="expression" priority="48" dxfId="0">
      <formula>IF($L67="T",TRUE,FALSE)</formula>
    </cfRule>
  </conditionalFormatting>
  <conditionalFormatting sqref="A68:A75">
    <cfRule type="expression" priority="45" dxfId="1">
      <formula>IF($L68="I",TRUE,FALSE)</formula>
    </cfRule>
    <cfRule type="expression" priority="46" dxfId="0">
      <formula>IF($L68="T",TRUE,FALSE)</formula>
    </cfRule>
  </conditionalFormatting>
  <conditionalFormatting sqref="A68:A75">
    <cfRule type="expression" priority="43" dxfId="1">
      <formula>IF(#REF!="I",TRUE,FALSE)</formula>
    </cfRule>
    <cfRule type="expression" priority="44" dxfId="0">
      <formula>IF(#REF!="T",TRUE,FALSE)</formula>
    </cfRule>
  </conditionalFormatting>
  <conditionalFormatting sqref="C9:C14">
    <cfRule type="expression" priority="41" dxfId="1">
      <formula>IF($L9="I",TRUE,FALSE)</formula>
    </cfRule>
    <cfRule type="expression" priority="42" dxfId="0">
      <formula>IF($L9="T",TRUE,FALSE)</formula>
    </cfRule>
  </conditionalFormatting>
  <conditionalFormatting sqref="B76">
    <cfRule type="expression" priority="39" dxfId="1">
      <formula>IF($L76="I",TRUE,FALSE)</formula>
    </cfRule>
    <cfRule type="expression" priority="40" dxfId="0">
      <formula>IF($L76="T",TRUE,FALSE)</formula>
    </cfRule>
  </conditionalFormatting>
  <conditionalFormatting sqref="B77">
    <cfRule type="expression" priority="37" dxfId="1">
      <formula>IF($L77="I",TRUE,FALSE)</formula>
    </cfRule>
    <cfRule type="expression" priority="38" dxfId="0">
      <formula>IF($L77="T",TRUE,FALSE)</formula>
    </cfRule>
  </conditionalFormatting>
  <conditionalFormatting sqref="C80:C81">
    <cfRule type="expression" priority="35" dxfId="1">
      <formula>IF($L80="I",TRUE,FALSE)</formula>
    </cfRule>
    <cfRule type="expression" priority="36" dxfId="0">
      <formula>IF($L80="T",TRUE,FALSE)</formula>
    </cfRule>
  </conditionalFormatting>
  <conditionalFormatting sqref="C82">
    <cfRule type="expression" priority="33" dxfId="1">
      <formula>IF($L82="I",TRUE,FALSE)</formula>
    </cfRule>
    <cfRule type="expression" priority="34" dxfId="0">
      <formula>IF($L82="T",TRUE,FALSE)</formula>
    </cfRule>
  </conditionalFormatting>
  <conditionalFormatting sqref="C79">
    <cfRule type="expression" priority="31" dxfId="1">
      <formula>IF($L79="I",TRUE,FALSE)</formula>
    </cfRule>
    <cfRule type="expression" priority="32" dxfId="0">
      <formula>IF($L79="T",TRUE,FALSE)</formula>
    </cfRule>
  </conditionalFormatting>
  <conditionalFormatting sqref="C83">
    <cfRule type="expression" priority="29" dxfId="1">
      <formula>IF($L83="I",TRUE,FALSE)</formula>
    </cfRule>
    <cfRule type="expression" priority="30" dxfId="0">
      <formula>IF($L83="T",TRUE,FALSE)</formula>
    </cfRule>
  </conditionalFormatting>
  <conditionalFormatting sqref="A76:A83">
    <cfRule type="expression" priority="27" dxfId="1">
      <formula>IF($L76="I",TRUE,FALSE)</formula>
    </cfRule>
    <cfRule type="expression" priority="28" dxfId="0">
      <formula>IF($L76="T",TRUE,FALSE)</formula>
    </cfRule>
  </conditionalFormatting>
  <conditionalFormatting sqref="A76:A83">
    <cfRule type="expression" priority="25" dxfId="1">
      <formula>IF(#REF!="I",TRUE,FALSE)</formula>
    </cfRule>
    <cfRule type="expression" priority="26" dxfId="0">
      <formula>IF(#REF!="T",TRUE,FALSE)</formula>
    </cfRule>
  </conditionalFormatting>
  <conditionalFormatting sqref="C84:C85">
    <cfRule type="expression" priority="23" dxfId="1">
      <formula>IF($L84="I",TRUE,FALSE)</formula>
    </cfRule>
    <cfRule type="expression" priority="24" dxfId="0">
      <formula>IF($L84="T",TRUE,FALSE)</formula>
    </cfRule>
  </conditionalFormatting>
  <conditionalFormatting sqref="C86:C93">
    <cfRule type="expression" priority="21" dxfId="1">
      <formula>IF($L86="I",TRUE,FALSE)</formula>
    </cfRule>
    <cfRule type="expression" priority="22" dxfId="0">
      <formula>IF($L86="T",TRUE,FALSE)</formula>
    </cfRule>
  </conditionalFormatting>
  <conditionalFormatting sqref="C100:C102">
    <cfRule type="expression" priority="19" dxfId="1">
      <formula>IF($L100="I",TRUE,FALSE)</formula>
    </cfRule>
    <cfRule type="expression" priority="20" dxfId="0">
      <formula>IF($L100="T",TRUE,FALSE)</formula>
    </cfRule>
  </conditionalFormatting>
  <conditionalFormatting sqref="C99">
    <cfRule type="expression" priority="13" dxfId="1">
      <formula>IF($L99="I",TRUE,FALSE)</formula>
    </cfRule>
    <cfRule type="expression" priority="14" dxfId="0">
      <formula>IF($L99="T",TRUE,FALSE)</formula>
    </cfRule>
  </conditionalFormatting>
  <conditionalFormatting sqref="C94">
    <cfRule type="expression" priority="17" dxfId="1">
      <formula>IF($L94="I",TRUE,FALSE)</formula>
    </cfRule>
    <cfRule type="expression" priority="18" dxfId="0">
      <formula>IF($L94="T",TRUE,FALSE)</formula>
    </cfRule>
  </conditionalFormatting>
  <conditionalFormatting sqref="C95:C98">
    <cfRule type="expression" priority="15" dxfId="1">
      <formula>IF($L95="I",TRUE,FALSE)</formula>
    </cfRule>
    <cfRule type="expression" priority="16" dxfId="0">
      <formula>IF($L95="T",TRUE,FALSE)</formula>
    </cfRule>
  </conditionalFormatting>
  <conditionalFormatting sqref="C103:C104">
    <cfRule type="expression" priority="11" dxfId="1">
      <formula>IF($L103="I",TRUE,FALSE)</formula>
    </cfRule>
    <cfRule type="expression" priority="12" dxfId="0">
      <formula>IF($L103="T",TRUE,FALSE)</formula>
    </cfRule>
  </conditionalFormatting>
  <conditionalFormatting sqref="C105:C112">
    <cfRule type="expression" priority="9" dxfId="1">
      <formula>IF($L105="I",TRUE,FALSE)</formula>
    </cfRule>
    <cfRule type="expression" priority="10" dxfId="0">
      <formula>IF($L105="T",TRUE,FALSE)</formula>
    </cfRule>
  </conditionalFormatting>
  <conditionalFormatting sqref="C119:C121">
    <cfRule type="expression" priority="7" dxfId="1">
      <formula>IF($L119="I",TRUE,FALSE)</formula>
    </cfRule>
    <cfRule type="expression" priority="8" dxfId="0">
      <formula>IF($L119="T",TRUE,FALSE)</formula>
    </cfRule>
  </conditionalFormatting>
  <conditionalFormatting sqref="C118">
    <cfRule type="expression" priority="1" dxfId="1">
      <formula>IF($L118="I",TRUE,FALSE)</formula>
    </cfRule>
    <cfRule type="expression" priority="2" dxfId="0">
      <formula>IF($L118="T",TRUE,FALSE)</formula>
    </cfRule>
  </conditionalFormatting>
  <conditionalFormatting sqref="C113">
    <cfRule type="expression" priority="5" dxfId="1">
      <formula>IF($L113="I",TRUE,FALSE)</formula>
    </cfRule>
    <cfRule type="expression" priority="6" dxfId="0">
      <formula>IF($L113="T",TRUE,FALSE)</formula>
    </cfRule>
  </conditionalFormatting>
  <conditionalFormatting sqref="C114:C117">
    <cfRule type="expression" priority="3" dxfId="1">
      <formula>IF($L114="I",TRUE,FALSE)</formula>
    </cfRule>
    <cfRule type="expression" priority="4" dxfId="0">
      <formula>IF($L114="T",TRUE,FALSE)</formula>
    </cfRule>
  </conditionalFormatting>
  <printOptions/>
  <pageMargins left="0" right="0" top="0.7874015748031497" bottom="0.7874015748031497" header="0.31496062992125984" footer="0.31496062992125984"/>
  <pageSetup fitToHeight="6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 Rodrigues de Moraes Claudio</dc:creator>
  <cp:keywords/>
  <dc:description/>
  <cp:lastModifiedBy>Prefeitura-Tietê</cp:lastModifiedBy>
  <cp:lastPrinted>2023-01-19T11:42:28Z</cp:lastPrinted>
  <dcterms:created xsi:type="dcterms:W3CDTF">2022-07-04T16:22:37Z</dcterms:created>
  <dcterms:modified xsi:type="dcterms:W3CDTF">2023-03-15T11:45:55Z</dcterms:modified>
  <cp:category/>
  <cp:version/>
  <cp:contentType/>
  <cp:contentStatus/>
</cp:coreProperties>
</file>