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755" activeTab="0"/>
  </bookViews>
  <sheets>
    <sheet name="CRONOGRAMA" sheetId="4" r:id="rId1"/>
    <sheet name="PLANILHA " sheetId="1" r:id="rId2"/>
    <sheet name="MEMÓRIA DE CALCULO" sheetId="3" r:id="rId3"/>
  </sheets>
  <definedNames>
    <definedName name="_xlnm._FilterDatabase" localSheetId="0" hidden="1">'CRONOGRAMA'!$H$1:$H$115</definedName>
    <definedName name="_xlnm._FilterDatabase" localSheetId="1" hidden="1">'PLANILHA '!$H$1:$H$115</definedName>
    <definedName name="_xlnm.Print_Area" localSheetId="0">'CRONOGRAMA'!$A$1:$L$115</definedName>
    <definedName name="_xlnm.Print_Area" localSheetId="2">'MEMÓRIA DE CALCULO'!$B$4:$N$130</definedName>
    <definedName name="_xlnm.Print_Area" localSheetId="1">'PLANILHA '!$A$1:$I$115</definedName>
  </definedNames>
  <calcPr calcId="162913"/>
</workbook>
</file>

<file path=xl/sharedStrings.xml><?xml version="1.0" encoding="utf-8"?>
<sst xmlns="http://schemas.openxmlformats.org/spreadsheetml/2006/main" count="1241" uniqueCount="303">
  <si>
    <t>OBRA:</t>
  </si>
  <si>
    <t>REFERÊNCIA:</t>
  </si>
  <si>
    <t>1.1</t>
  </si>
  <si>
    <t>1.2</t>
  </si>
  <si>
    <t>UNID</t>
  </si>
  <si>
    <t>TOTAL</t>
  </si>
  <si>
    <t>KG</t>
  </si>
  <si>
    <t>M3</t>
  </si>
  <si>
    <t>M2</t>
  </si>
  <si>
    <t>02.02.091</t>
  </si>
  <si>
    <t>TAXA DE MOBILIZAÇÃO DE EQUIPAMENTO - ESTACA</t>
  </si>
  <si>
    <t>P. UNITÁRIO (R$)</t>
  </si>
  <si>
    <t>TOTAL C/ BDI (R$)</t>
  </si>
  <si>
    <t>P. UNIT.  + BDI (R$)</t>
  </si>
  <si>
    <t>QUANT</t>
  </si>
  <si>
    <t>CÓDIGO</t>
  </si>
  <si>
    <t>12.80.030</t>
  </si>
  <si>
    <t>M</t>
  </si>
  <si>
    <t>2.1</t>
  </si>
  <si>
    <t>REPARO EM TRINCAS</t>
  </si>
  <si>
    <t xml:space="preserve">BDI: </t>
  </si>
  <si>
    <t xml:space="preserve"> 16.31.024</t>
  </si>
  <si>
    <t>ESTACA REACAO P/20T CRAVADA ALEM 5,00M DE PROFUNDIDADE</t>
  </si>
  <si>
    <t>REFORÇO DE FUNDAÇÃO - ESTACAS TIPO MEGA</t>
  </si>
  <si>
    <t>ESCAVAÇÃO</t>
  </si>
  <si>
    <t>DEMOLIÇÃO DE CONCRETO SIMPLES (MANUAL)</t>
  </si>
  <si>
    <t>02.50.001</t>
  </si>
  <si>
    <t>BDI:</t>
  </si>
  <si>
    <t>FDE</t>
  </si>
  <si>
    <t>1.1.1</t>
  </si>
  <si>
    <t>1.</t>
  </si>
  <si>
    <t>ESTACAS</t>
  </si>
  <si>
    <t>LARG</t>
  </si>
  <si>
    <t>COMP</t>
  </si>
  <si>
    <t>PROF</t>
  </si>
  <si>
    <t>ESPESSURA CONCRETO</t>
  </si>
  <si>
    <t>M PROF.</t>
  </si>
  <si>
    <t>ESCAVACAO MANUAL - PROFUNDIDADE ATE 1.80 M</t>
  </si>
  <si>
    <t>16.13.001</t>
  </si>
  <si>
    <t>m3</t>
  </si>
  <si>
    <t>1.1.2</t>
  </si>
  <si>
    <t>REFERÊNCIA</t>
  </si>
  <si>
    <t>ITEM</t>
  </si>
  <si>
    <t>DISCRIMINAÇÃO DOS SERVIÇOS</t>
  </si>
  <si>
    <t>ESTACAS TIPO MEGA</t>
  </si>
  <si>
    <t>1.2.1</t>
  </si>
  <si>
    <t>1.2.2</t>
  </si>
  <si>
    <t>1.3</t>
  </si>
  <si>
    <t>RECOMPOSIÇÃO DE PISO</t>
  </si>
  <si>
    <t>1.3.1</t>
  </si>
  <si>
    <t>1.3.2</t>
  </si>
  <si>
    <t>1.3.3</t>
  </si>
  <si>
    <t>REATERRO INTERNO APILOADO</t>
  </si>
  <si>
    <t>01.06.005</t>
  </si>
  <si>
    <t>LASTRO DE PEDRA BRITADA - 5CM</t>
  </si>
  <si>
    <t>01.07.002</t>
  </si>
  <si>
    <t>FORMAS DE MADEIRA MACICA</t>
  </si>
  <si>
    <t>16.14.006</t>
  </si>
  <si>
    <t>ALTUR</t>
  </si>
  <si>
    <t>PISO DE CONCRETO DESEMPENADO C/ REQUADRO 1.80CM E=6CM</t>
  </si>
  <si>
    <t>16.80.013</t>
  </si>
  <si>
    <t>1.3.4</t>
  </si>
  <si>
    <t>DEMOLIÇÕES E RETIRADAS</t>
  </si>
  <si>
    <t>RETIRADA DE FORRO DE PVC EM LAMINAS</t>
  </si>
  <si>
    <t>10.60.005</t>
  </si>
  <si>
    <t>12.50.002</t>
  </si>
  <si>
    <t>DEMOLIÇAO PISO GRANILITE, LADRILHO HIDRAULICO, CERAMICO, CACOS, INCLUSIVE BASE</t>
  </si>
  <si>
    <t>RETIRADA DE ESTRUT DE MADEIRA EM TESOURA PARA TELHAS DE BARRO SOBRE VAO LIVRE</t>
  </si>
  <si>
    <t>07.60.002</t>
  </si>
  <si>
    <t>RETIRADA DE TELHAS DE BARRO</t>
  </si>
  <si>
    <t>07.60.050</t>
  </si>
  <si>
    <t>RETIRADA DE MÁRMORE PEDRAS OU GRANITOS INCL DEMOLICÃO ARGAMASSA ASSENTAMENTO</t>
  </si>
  <si>
    <t>12.60.001</t>
  </si>
  <si>
    <t>3.</t>
  </si>
  <si>
    <t>SANT MASC</t>
  </si>
  <si>
    <t>SANIT FEM</t>
  </si>
  <si>
    <t>3.1</t>
  </si>
  <si>
    <t>3.2</t>
  </si>
  <si>
    <t>TRAMA DE AÇO COMPOSTA POR TERÇAS PARA TELHADOS DE ATÉ 2 ÁGUAS PARA TELHA ONDULADA DE FIBROCIMENTO, METÁLICA, PLÁSTICA OU TERMOACÚSTICA, INCLUSO TRANSPORTE VERTICAL. AF_07/2019</t>
  </si>
  <si>
    <t>SINAPI</t>
  </si>
  <si>
    <t>RECONSTRUÇÃO TELHADO SANITARIOS</t>
  </si>
  <si>
    <t>4.1</t>
  </si>
  <si>
    <t>TELHA GALVALUME / ACO GALV ACAB. NATURAL ONDULADA CRFS E=0,65MM</t>
  </si>
  <si>
    <t>07.03.132</t>
  </si>
  <si>
    <t>4.2</t>
  </si>
  <si>
    <t>DEMOLIÇÃO DE ALVENARIAS EM GERAL E ELEMENTOS VAZADOS,INCL REVESTIMENTOS</t>
  </si>
  <si>
    <t>04.50.001</t>
  </si>
  <si>
    <t>LATERAIS</t>
  </si>
  <si>
    <t>ESPESSURA</t>
  </si>
  <si>
    <t>RUFO P/ TELHA TECNOLOGIA CRFS ONDULADA</t>
  </si>
  <si>
    <t>07.80.050</t>
  </si>
  <si>
    <t>RECOLOCAÇÃO DE BANCADAS EM GRANITO</t>
  </si>
  <si>
    <t>4.3</t>
  </si>
  <si>
    <t>4.4</t>
  </si>
  <si>
    <t>TAMPO DE PIA EM GRANITO E=2CM</t>
  </si>
  <si>
    <t>05.82.010</t>
  </si>
  <si>
    <t>5.1</t>
  </si>
  <si>
    <t>LAVATORIO BRANCO SEM COLUNA 33X45CM</t>
  </si>
  <si>
    <t>FDE INSUMO</t>
  </si>
  <si>
    <t>FORRO EM LÂMINA DE PVC 200MM E = 7 OU 8MM</t>
  </si>
  <si>
    <t>10.01.082</t>
  </si>
  <si>
    <t>4.5</t>
  </si>
  <si>
    <t>PISO</t>
  </si>
  <si>
    <t>REGULARIZACAO DE SUPERFICIE P/ PREPARO IMPERM 1:3 E=2,5CM</t>
  </si>
  <si>
    <t>11.02.066</t>
  </si>
  <si>
    <t>REVESTIMENTO CERÂMICO PARA PISO COM PLACAS TIPO ESMALTADA EXTRA DE DIMENSÕES 45X45 CM APLICADA EM AMBIENTES DE ÁREA MAIOR QUE 10 M2. AF_06/2014</t>
  </si>
  <si>
    <t>6.1</t>
  </si>
  <si>
    <t>6.2</t>
  </si>
  <si>
    <t>5.2</t>
  </si>
  <si>
    <t>SANITÁRIOS</t>
  </si>
  <si>
    <t>ÁREA DE SERVIÇO</t>
  </si>
  <si>
    <t>3.1.1</t>
  </si>
  <si>
    <t>3.1.2</t>
  </si>
  <si>
    <t>3.1.3</t>
  </si>
  <si>
    <t>3.1.4</t>
  </si>
  <si>
    <t>3.1.5</t>
  </si>
  <si>
    <t>08.60.011</t>
  </si>
  <si>
    <t>UNID.</t>
  </si>
  <si>
    <t>RETIRADA DE APARELHOS SANITÁRIOS INCLUINDO ACESSÓRIOS (TANQUE)</t>
  </si>
  <si>
    <t>DEMOLIÇÃO ÁREA DE SERVIÇ0</t>
  </si>
  <si>
    <t>ALTURA</t>
  </si>
  <si>
    <t>3.2.1</t>
  </si>
  <si>
    <t>3.2.2</t>
  </si>
  <si>
    <t>3.2.3</t>
  </si>
  <si>
    <t>RETIRADA DE TELHAS OND DE FIBRO-CIM/PLAST OU ALUM/PLANA PRE FAB</t>
  </si>
  <si>
    <t>07.60.060</t>
  </si>
  <si>
    <t>RETIRADA DE VIGAMENTO DE APOIO P/TELHAS DE BARRO/FIBRO-CIM/AL/PLAST/PLANA PRE-FAB</t>
  </si>
  <si>
    <t>07.60.010</t>
  </si>
  <si>
    <t>UNIDADES</t>
  </si>
  <si>
    <t>3.2.4</t>
  </si>
  <si>
    <t>3.2.5</t>
  </si>
  <si>
    <t>PISO SANITÁRIOS</t>
  </si>
  <si>
    <t>CONSTRUÇÃO ÁREA DE SERVIÇO</t>
  </si>
  <si>
    <t>RECONSTRUÇÃO TELHADO SANITÁRIOS E ÁREA DE SERVIÇO</t>
  </si>
  <si>
    <t>COM ÁREA DE SERVIÇO</t>
  </si>
  <si>
    <t>7.1</t>
  </si>
  <si>
    <t>INFRAESTRUTURA</t>
  </si>
  <si>
    <t>BROCA DE CONCRETO DE DIAMETRO 25CM - INCL ARRANQUES</t>
  </si>
  <si>
    <t>02.02.026</t>
  </si>
  <si>
    <t>ACO CA-50 (A OU B) FYK = 500 MPA</t>
  </si>
  <si>
    <t>02.02.021</t>
  </si>
  <si>
    <t>16.13.015</t>
  </si>
  <si>
    <t>16.13.026</t>
  </si>
  <si>
    <t>CONCRETO DOSADO E LANCADO FCK=25 MPA</t>
  </si>
  <si>
    <t>16.14.038</t>
  </si>
  <si>
    <t>SUPERESTRUTURA</t>
  </si>
  <si>
    <t>7.2</t>
  </si>
  <si>
    <t>ALVENARIA DE BLOCO CERAMICO PORTANTE E=14CM</t>
  </si>
  <si>
    <t>04.01.042</t>
  </si>
  <si>
    <t>CHAPISCO</t>
  </si>
  <si>
    <t>12.02.002</t>
  </si>
  <si>
    <t>EMBOCO</t>
  </si>
  <si>
    <t>12.02.005</t>
  </si>
  <si>
    <t>REBOCO</t>
  </si>
  <si>
    <t>12.02.007</t>
  </si>
  <si>
    <t>7.3</t>
  </si>
  <si>
    <t>ESQUADRIAS</t>
  </si>
  <si>
    <t>PM-04 PORTA DE MADEIRA SARRAFEADA P/ PINT. BAT. MADEIRA L=82CM</t>
  </si>
  <si>
    <t>05.01.004</t>
  </si>
  <si>
    <t>JANELA DE AÇO TIPO BASCULANTE PARA VIDROS, COM BATENTE, FERRAGENS E PINTURA ANTICORROSIVA. EXCLUSIVE VIDROS, ACABAMENTO, ALIZAR E CONTRAMARCO. FORNECIMENTO E INSTALAÇÃO. AF_12/2019</t>
  </si>
  <si>
    <t>JANELA DE AÇO DE CORRER COM 4 FOLHAS PARA VIDRO, COM BATENTE, FERRAGENS E PINTURA ANTICORROSIVA. EXCLUSIVE VIDROS, ALIZAR E CONTRAMARCO. FORNECIMENTO E INSTALAÇÃO. AF_12/2019</t>
  </si>
  <si>
    <t>VIDRO LISO COMUM INCOLOR DE 4MM</t>
  </si>
  <si>
    <t>14.01.004</t>
  </si>
  <si>
    <t>7.4</t>
  </si>
  <si>
    <t>INSTALAÇÕES HIDRÁULICAS</t>
  </si>
  <si>
    <t>INSTALAÇÕES ELÉTRICAS</t>
  </si>
  <si>
    <t>TANQUE DE LOUCA BRANCA,PEQUENO C/COLUNA</t>
  </si>
  <si>
    <t>08.16.045</t>
  </si>
  <si>
    <t>7.5</t>
  </si>
  <si>
    <t>ALVENARIA E REVESTIMENTOS</t>
  </si>
  <si>
    <t>REVESTIMENTO COM AZULEJOS RETIFICADOS LISOS BRANCO BRILHANTE</t>
  </si>
  <si>
    <t>12.02.036</t>
  </si>
  <si>
    <t>PERÍMETRO ALVENARIA</t>
  </si>
  <si>
    <t>PILAR</t>
  </si>
  <si>
    <t>ALVENRIA</t>
  </si>
  <si>
    <t>DESCONTAR</t>
  </si>
  <si>
    <t>PORTA</t>
  </si>
  <si>
    <t>VITRO</t>
  </si>
  <si>
    <t>7.1.1</t>
  </si>
  <si>
    <t>7.1.2</t>
  </si>
  <si>
    <t>7.1.3</t>
  </si>
  <si>
    <t>7.1.4</t>
  </si>
  <si>
    <t>7.1.5</t>
  </si>
  <si>
    <t>7.1.6</t>
  </si>
  <si>
    <t>7.1.7</t>
  </si>
  <si>
    <t>7.2.1</t>
  </si>
  <si>
    <t>7.2.2</t>
  </si>
  <si>
    <t>7.2.3</t>
  </si>
  <si>
    <t>7.3.1</t>
  </si>
  <si>
    <t>7.3.2</t>
  </si>
  <si>
    <t>7.3.3</t>
  </si>
  <si>
    <t>7.3.4</t>
  </si>
  <si>
    <t>7.3.5</t>
  </si>
  <si>
    <t>7.4.1</t>
  </si>
  <si>
    <t>APILOAMENTO PARA SIMPLES REGULARIZACAO</t>
  </si>
  <si>
    <t>16.13.010</t>
  </si>
  <si>
    <t>LASTRO DE CONCRETO - 5CM</t>
  </si>
  <si>
    <t>16.13.025</t>
  </si>
  <si>
    <t>7.</t>
  </si>
  <si>
    <t>7.2.4</t>
  </si>
  <si>
    <t>VERGA / CINTA EM BLOCO DE CONCRETO CANALETA 14X19X39 CM</t>
  </si>
  <si>
    <t>16.15.003</t>
  </si>
  <si>
    <t>7.6</t>
  </si>
  <si>
    <t>7.6.1</t>
  </si>
  <si>
    <t>7.6.2</t>
  </si>
  <si>
    <t>7.6.3</t>
  </si>
  <si>
    <t>7.6.4</t>
  </si>
  <si>
    <t>7.5.1</t>
  </si>
  <si>
    <t>7.5.2</t>
  </si>
  <si>
    <t>7.5.3</t>
  </si>
  <si>
    <t>7.5.4</t>
  </si>
  <si>
    <t>7.4.2</t>
  </si>
  <si>
    <t>7.4.4</t>
  </si>
  <si>
    <t>7.4.3</t>
  </si>
  <si>
    <t>8.</t>
  </si>
  <si>
    <t>PINTURA</t>
  </si>
  <si>
    <t>15.02.025</t>
  </si>
  <si>
    <t>8.1</t>
  </si>
  <si>
    <t>TINTA LATEX STANDARD PINTURA INTERNA)</t>
  </si>
  <si>
    <t>8.1.1</t>
  </si>
  <si>
    <t>sanit. Fem</t>
  </si>
  <si>
    <t>sanit. Masc.</t>
  </si>
  <si>
    <t>m</t>
  </si>
  <si>
    <t>perimetro</t>
  </si>
  <si>
    <t>m2</t>
  </si>
  <si>
    <t>hall masc.</t>
  </si>
  <si>
    <t>descontar porta</t>
  </si>
  <si>
    <t>hall fem.</t>
  </si>
  <si>
    <t>total</t>
  </si>
  <si>
    <t>fundo</t>
  </si>
  <si>
    <t>TINTA LATEX STANDARD (PINTURA INTERNA)</t>
  </si>
  <si>
    <t>TINTA LATEX STANDARD (PINTURA EXTERNA)</t>
  </si>
  <si>
    <t>8.1.2</t>
  </si>
  <si>
    <t>area calculada no CAD</t>
  </si>
  <si>
    <t>lateral 01</t>
  </si>
  <si>
    <t>lateral 02</t>
  </si>
  <si>
    <t>SANITÁRIOS E A.S.</t>
  </si>
  <si>
    <t>SANITÁRIOS E  A.S.</t>
  </si>
  <si>
    <t>A.S.</t>
  </si>
  <si>
    <t>descontar vitro</t>
  </si>
  <si>
    <t>parede p/ patio</t>
  </si>
  <si>
    <t>ESMALTE EM ESQUADRIAS DE FERRO</t>
  </si>
  <si>
    <t>15.03.021</t>
  </si>
  <si>
    <t>unid.</t>
  </si>
  <si>
    <t>15.02.019</t>
  </si>
  <si>
    <t>8.2</t>
  </si>
  <si>
    <t>COZINHA E CHURRASQUEIRA</t>
  </si>
  <si>
    <t>ESMALTE (PORTA A.S.)</t>
  </si>
  <si>
    <t>ESMALTE EM ESQUADRIAS DE FERRO (NOVAS A.S.)</t>
  </si>
  <si>
    <t>8.1.3</t>
  </si>
  <si>
    <t>8.1.4</t>
  </si>
  <si>
    <t>8.2.1</t>
  </si>
  <si>
    <t>lateral churrasqueira</t>
  </si>
  <si>
    <t>fundo churrasqueira</t>
  </si>
  <si>
    <t>parede interna patio (salas e churrasqueira)</t>
  </si>
  <si>
    <t>descontar</t>
  </si>
  <si>
    <t>portas</t>
  </si>
  <si>
    <t>vitros</t>
  </si>
  <si>
    <t>cozinha interna</t>
  </si>
  <si>
    <t>fundo coz e churras</t>
  </si>
  <si>
    <t>lateral menor</t>
  </si>
  <si>
    <t>lateral maior</t>
  </si>
  <si>
    <t>descontar vitros</t>
  </si>
  <si>
    <t>8.2.2</t>
  </si>
  <si>
    <t>Tietê, 23 de maio de 2022</t>
  </si>
  <si>
    <t>ALVARO FLORIAM GEBRAIEL BELLAZ</t>
  </si>
  <si>
    <t>ENGENHEIRO CIVIL</t>
  </si>
  <si>
    <t>CREA: 507.011.280-5</t>
  </si>
  <si>
    <t>SECRETÁRIO DE OBRAS E PLANEJAMENTO</t>
  </si>
  <si>
    <t>ABERTURA VÃO DE PORTA</t>
  </si>
  <si>
    <t>7.7</t>
  </si>
  <si>
    <t>7.7.1</t>
  </si>
  <si>
    <t>7.7.2</t>
  </si>
  <si>
    <t>7.7.3</t>
  </si>
  <si>
    <t>7.7.4</t>
  </si>
  <si>
    <t>REFORMA E REFORÇO DE FUNDAÇÃO - CRAS POVO FELIZ</t>
  </si>
  <si>
    <t>INTERRUPTOR DE 1 TECLA SIMPLES EM CX.4"X2"-ELETROD.AÇO GALV.A QUENTE</t>
  </si>
  <si>
    <t>09.08.002</t>
  </si>
  <si>
    <t>TOMADA 2P+T PADRAO NBR 14136, CORRENTE 10A-250V-ELETR. AÇO GALV. A QUENTE</t>
  </si>
  <si>
    <t>09.08.013</t>
  </si>
  <si>
    <t>CABO COBRE FLEXÍVEL MULTIPOLAR PP 3x2,5 mm2 0,6/1KV</t>
  </si>
  <si>
    <t>16.85.084</t>
  </si>
  <si>
    <t>7.6.5</t>
  </si>
  <si>
    <t>CABO COBRE FLEXÍVEL MULTIPOLAR PP 3x1,5 mm2 0,6/1KV</t>
  </si>
  <si>
    <t>16.85.085</t>
  </si>
  <si>
    <t>ELETRODUTO EM POLIETILENO DE 32MM-INCLUSIVE CONEXOES</t>
  </si>
  <si>
    <t>09.03.059</t>
  </si>
  <si>
    <t>CAIXA SIFONADA DE PVC DN 100X150X50MM C/GRELHA PVC CROMADO</t>
  </si>
  <si>
    <t>08.10.004</t>
  </si>
  <si>
    <t>TUBO PVC NORMAL "SN" JUNTA ELÁSTICA DN 50 INCL CONEXÕES</t>
  </si>
  <si>
    <t>08.09.016</t>
  </si>
  <si>
    <t>TUBO PVC NORMAL "SN" JUNTA ELÁSTICA DN 100 INCL CONEXÕES</t>
  </si>
  <si>
    <t>08.09.018</t>
  </si>
  <si>
    <t>7.5.5</t>
  </si>
  <si>
    <t>FDE ABRIL/ 2022 E SINAPI 04/2022</t>
  </si>
  <si>
    <t>ATERRO COM TRANSPORTE POR CAMINHAO NOS PRIMEIROS 100 M</t>
  </si>
  <si>
    <t>01.03.004</t>
  </si>
  <si>
    <t>1º MÊS</t>
  </si>
  <si>
    <t>2º MÊS</t>
  </si>
  <si>
    <t>3º MÊS</t>
  </si>
  <si>
    <t>CRONOGRAMA FÍSICO-FINANCEIRO</t>
  </si>
  <si>
    <t>7.7.5</t>
  </si>
  <si>
    <t>REFORMA, REFORÇO DE FUNDAÇÃO E AMPLIAÇÃO - CRAS POVO FELIZ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</si>
</sst>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3">
    <font>
      <sz val="10"/>
      <color rgb="FF000000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rgb="FF000000"/>
      <name val="Times New Roman"/>
      <family val="1"/>
    </font>
    <font>
      <b/>
      <u val="single"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color rgb="FF000000"/>
      <name val="MS Sans Serif"/>
      <family val="2"/>
    </font>
    <font>
      <sz val="11"/>
      <color indexed="8"/>
      <name val="Calibri"/>
      <family val="2"/>
      <scheme val="minor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sz val="10"/>
      <color rgb="FF000000"/>
      <name val="Calibri"/>
      <family val="2"/>
      <scheme val="minor"/>
    </font>
    <font>
      <b/>
      <u val="single"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333333"/>
      <name val="Calibri"/>
      <family val="2"/>
      <scheme val="minor"/>
    </font>
    <font>
      <b/>
      <u val="single"/>
      <sz val="10"/>
      <color rgb="FF000000"/>
      <name val="Calibri"/>
      <family val="2"/>
      <scheme val="minor"/>
    </font>
    <font>
      <b/>
      <sz val="9"/>
      <name val="Arial"/>
      <family val="2"/>
    </font>
    <font>
      <sz val="10"/>
      <color theme="1"/>
      <name val="Times New Roman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43" fontId="10" fillId="0" borderId="0" applyFont="0" applyFill="0" applyBorder="0" applyAlignment="0" applyProtection="0"/>
    <xf numFmtId="0" fontId="10" fillId="0" borderId="0">
      <alignment/>
      <protection/>
    </xf>
  </cellStyleXfs>
  <cellXfs count="154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3" fontId="4" fillId="0" borderId="0" xfId="2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left" vertical="center"/>
    </xf>
    <xf numFmtId="43" fontId="4" fillId="0" borderId="0" xfId="2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10" fontId="6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0" fontId="3" fillId="0" borderId="0" xfId="0" applyNumberFormat="1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horizontal="left" vertical="top"/>
    </xf>
    <xf numFmtId="43" fontId="4" fillId="0" borderId="0" xfId="2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vertical="top" wrapText="1"/>
    </xf>
    <xf numFmtId="4" fontId="1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wrapText="1"/>
    </xf>
    <xf numFmtId="10" fontId="4" fillId="0" borderId="0" xfId="0" applyNumberFormat="1" applyFont="1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11" fillId="2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center" vertical="top" shrinkToFit="1"/>
    </xf>
    <xf numFmtId="0" fontId="0" fillId="0" borderId="1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center" vertical="center" wrapText="1"/>
    </xf>
    <xf numFmtId="43" fontId="15" fillId="3" borderId="2" xfId="20" applyFont="1" applyFill="1" applyBorder="1" applyAlignment="1">
      <alignment horizontal="center" vertical="center" wrapText="1"/>
    </xf>
    <xf numFmtId="1" fontId="16" fillId="3" borderId="3" xfId="0" applyNumberFormat="1" applyFont="1" applyFill="1" applyBorder="1" applyAlignment="1">
      <alignment horizontal="left" vertical="center" shrinkToFit="1"/>
    </xf>
    <xf numFmtId="0" fontId="17" fillId="3" borderId="4" xfId="0" applyFont="1" applyFill="1" applyBorder="1" applyAlignment="1">
      <alignment vertical="center"/>
    </xf>
    <xf numFmtId="1" fontId="16" fillId="3" borderId="4" xfId="0" applyNumberFormat="1" applyFont="1" applyFill="1" applyBorder="1" applyAlignment="1">
      <alignment horizontal="left" vertical="center" shrinkToFit="1"/>
    </xf>
    <xf numFmtId="0" fontId="17" fillId="3" borderId="4" xfId="0" applyFont="1" applyFill="1" applyBorder="1" applyAlignment="1">
      <alignment vertical="center" wrapText="1"/>
    </xf>
    <xf numFmtId="43" fontId="17" fillId="3" borderId="4" xfId="0" applyNumberFormat="1" applyFont="1" applyFill="1" applyBorder="1" applyAlignment="1">
      <alignment vertical="center" wrapText="1"/>
    </xf>
    <xf numFmtId="43" fontId="17" fillId="3" borderId="5" xfId="0" applyNumberFormat="1" applyFont="1" applyFill="1" applyBorder="1" applyAlignment="1">
      <alignment vertical="center" wrapText="1"/>
    </xf>
    <xf numFmtId="1" fontId="16" fillId="0" borderId="6" xfId="0" applyNumberFormat="1" applyFont="1" applyFill="1" applyBorder="1" applyAlignment="1">
      <alignment horizontal="left" vertical="top" shrinkToFit="1"/>
    </xf>
    <xf numFmtId="0" fontId="17" fillId="0" borderId="7" xfId="0" applyFont="1" applyFill="1" applyBorder="1" applyAlignment="1">
      <alignment vertical="top"/>
    </xf>
    <xf numFmtId="1" fontId="16" fillId="0" borderId="7" xfId="0" applyNumberFormat="1" applyFont="1" applyFill="1" applyBorder="1" applyAlignment="1">
      <alignment horizontal="center" vertical="top" shrinkToFit="1"/>
    </xf>
    <xf numFmtId="0" fontId="17" fillId="0" borderId="7" xfId="0" applyFont="1" applyFill="1" applyBorder="1" applyAlignment="1">
      <alignment vertical="top" wrapText="1"/>
    </xf>
    <xf numFmtId="0" fontId="18" fillId="0" borderId="7" xfId="0" applyFont="1" applyFill="1" applyBorder="1" applyAlignment="1">
      <alignment vertical="top" wrapText="1"/>
    </xf>
    <xf numFmtId="43" fontId="18" fillId="0" borderId="7" xfId="0" applyNumberFormat="1" applyFont="1" applyFill="1" applyBorder="1" applyAlignment="1">
      <alignment vertical="top" wrapText="1"/>
    </xf>
    <xf numFmtId="43" fontId="17" fillId="0" borderId="8" xfId="0" applyNumberFormat="1" applyFont="1" applyFill="1" applyBorder="1" applyAlignment="1">
      <alignment vertical="top" wrapText="1"/>
    </xf>
    <xf numFmtId="1" fontId="14" fillId="0" borderId="1" xfId="0" applyNumberFormat="1" applyFont="1" applyFill="1" applyBorder="1" applyAlignment="1">
      <alignment horizontal="left" vertical="top" shrinkToFit="1"/>
    </xf>
    <xf numFmtId="1" fontId="14" fillId="0" borderId="1" xfId="0" applyNumberFormat="1" applyFont="1" applyFill="1" applyBorder="1" applyAlignment="1">
      <alignment horizontal="center" vertical="top" shrinkToFit="1"/>
    </xf>
    <xf numFmtId="0" fontId="18" fillId="0" borderId="1" xfId="0" applyFont="1" applyFill="1" applyBorder="1" applyAlignment="1">
      <alignment horizontal="center" vertical="top" wrapText="1"/>
    </xf>
    <xf numFmtId="43" fontId="18" fillId="0" borderId="1" xfId="0" applyNumberFormat="1" applyFont="1" applyFill="1" applyBorder="1" applyAlignment="1">
      <alignment vertical="top" wrapText="1"/>
    </xf>
    <xf numFmtId="1" fontId="16" fillId="0" borderId="9" xfId="0" applyNumberFormat="1" applyFont="1" applyFill="1" applyBorder="1" applyAlignment="1">
      <alignment horizontal="left" vertical="top" shrinkToFit="1"/>
    </xf>
    <xf numFmtId="0" fontId="17" fillId="0" borderId="0" xfId="0" applyFont="1" applyFill="1" applyBorder="1" applyAlignment="1">
      <alignment vertical="top"/>
    </xf>
    <xf numFmtId="1" fontId="16" fillId="0" borderId="0" xfId="0" applyNumberFormat="1" applyFont="1" applyFill="1" applyBorder="1" applyAlignment="1">
      <alignment horizontal="center" vertical="top" shrinkToFit="1"/>
    </xf>
    <xf numFmtId="0" fontId="17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43" fontId="18" fillId="0" borderId="0" xfId="0" applyNumberFormat="1" applyFont="1" applyFill="1" applyBorder="1" applyAlignment="1">
      <alignment vertical="top" wrapText="1"/>
    </xf>
    <xf numFmtId="43" fontId="17" fillId="0" borderId="10" xfId="0" applyNumberFormat="1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43" fontId="14" fillId="0" borderId="1" xfId="20" applyNumberFormat="1" applyFont="1" applyFill="1" applyBorder="1" applyAlignment="1">
      <alignment horizontal="right" vertical="center" shrinkToFi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43" fontId="14" fillId="0" borderId="11" xfId="20" applyNumberFormat="1" applyFont="1" applyFill="1" applyBorder="1" applyAlignment="1">
      <alignment horizontal="right" vertical="center" shrinkToFit="1"/>
    </xf>
    <xf numFmtId="0" fontId="19" fillId="0" borderId="0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left" vertical="top"/>
    </xf>
    <xf numFmtId="4" fontId="16" fillId="4" borderId="1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43" fontId="18" fillId="0" borderId="1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2" fontId="15" fillId="3" borderId="2" xfId="0" applyNumberFormat="1" applyFont="1" applyFill="1" applyBorder="1" applyAlignment="1">
      <alignment horizontal="center" vertical="center" wrapText="1"/>
    </xf>
    <xf numFmtId="2" fontId="17" fillId="3" borderId="4" xfId="0" applyNumberFormat="1" applyFont="1" applyFill="1" applyBorder="1" applyAlignment="1">
      <alignment horizontal="center" vertical="center" wrapText="1"/>
    </xf>
    <xf numFmtId="2" fontId="18" fillId="0" borderId="7" xfId="0" applyNumberFormat="1" applyFont="1" applyFill="1" applyBorder="1" applyAlignment="1">
      <alignment horizontal="center" vertical="top" wrapText="1"/>
    </xf>
    <xf numFmtId="2" fontId="18" fillId="0" borderId="1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/>
    </xf>
    <xf numFmtId="43" fontId="18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0" fillId="5" borderId="0" xfId="0" applyFill="1" applyBorder="1" applyAlignment="1">
      <alignment horizontal="left" vertical="top"/>
    </xf>
    <xf numFmtId="0" fontId="0" fillId="5" borderId="0" xfId="0" applyFont="1" applyFill="1" applyBorder="1" applyAlignment="1">
      <alignment horizontal="left" vertical="top"/>
    </xf>
    <xf numFmtId="0" fontId="17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top"/>
    </xf>
    <xf numFmtId="43" fontId="3" fillId="0" borderId="0" xfId="0" applyNumberFormat="1" applyFont="1" applyFill="1" applyBorder="1" applyAlignment="1">
      <alignment vertical="top" wrapText="1"/>
    </xf>
    <xf numFmtId="43" fontId="18" fillId="0" borderId="3" xfId="0" applyNumberFormat="1" applyFont="1" applyFill="1" applyBorder="1" applyAlignment="1">
      <alignment vertical="top" wrapText="1"/>
    </xf>
    <xf numFmtId="43" fontId="14" fillId="0" borderId="3" xfId="20" applyNumberFormat="1" applyFont="1" applyFill="1" applyBorder="1" applyAlignment="1">
      <alignment horizontal="right" vertical="center" shrinkToFit="1"/>
    </xf>
    <xf numFmtId="43" fontId="14" fillId="0" borderId="6" xfId="20" applyNumberFormat="1" applyFont="1" applyFill="1" applyBorder="1" applyAlignment="1">
      <alignment horizontal="right" vertical="center" shrinkToFit="1"/>
    </xf>
    <xf numFmtId="43" fontId="18" fillId="0" borderId="3" xfId="0" applyNumberFormat="1" applyFont="1" applyFill="1" applyBorder="1" applyAlignment="1">
      <alignment vertical="center" wrapText="1"/>
    </xf>
    <xf numFmtId="43" fontId="18" fillId="0" borderId="3" xfId="0" applyNumberFormat="1" applyFont="1" applyFill="1" applyBorder="1" applyAlignment="1">
      <alignment horizontal="center" vertical="center" wrapText="1"/>
    </xf>
    <xf numFmtId="43" fontId="17" fillId="3" borderId="1" xfId="0" applyNumberFormat="1" applyFont="1" applyFill="1" applyBorder="1" applyAlignment="1">
      <alignment vertical="center" wrapText="1"/>
    </xf>
    <xf numFmtId="43" fontId="17" fillId="0" borderId="1" xfId="0" applyNumberFormat="1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43" fontId="14" fillId="0" borderId="1" xfId="0" applyNumberFormat="1" applyFont="1" applyFill="1" applyBorder="1" applyAlignment="1">
      <alignment horizontal="left"/>
    </xf>
    <xf numFmtId="43" fontId="18" fillId="0" borderId="1" xfId="0" applyNumberFormat="1" applyFont="1" applyFill="1" applyBorder="1" applyAlignment="1">
      <alignment horizontal="right" wrapText="1"/>
    </xf>
    <xf numFmtId="43" fontId="14" fillId="0" borderId="1" xfId="20" applyNumberFormat="1" applyFont="1" applyFill="1" applyBorder="1" applyAlignment="1">
      <alignment horizontal="left" wrapText="1"/>
    </xf>
    <xf numFmtId="43" fontId="14" fillId="0" borderId="1" xfId="0" applyNumberFormat="1" applyFont="1" applyFill="1" applyBorder="1" applyAlignment="1">
      <alignment horizontal="left" wrapText="1"/>
    </xf>
    <xf numFmtId="43" fontId="18" fillId="0" borderId="0" xfId="0" applyNumberFormat="1" applyFont="1" applyFill="1" applyBorder="1" applyAlignment="1">
      <alignment horizontal="right" vertical="center" wrapText="1"/>
    </xf>
    <xf numFmtId="43" fontId="14" fillId="0" borderId="0" xfId="0" applyNumberFormat="1" applyFont="1" applyFill="1" applyBorder="1" applyAlignment="1">
      <alignment horizontal="left" vertical="center"/>
    </xf>
    <xf numFmtId="43" fontId="16" fillId="0" borderId="1" xfId="0" applyNumberFormat="1" applyFont="1" applyFill="1" applyBorder="1" applyAlignment="1">
      <alignment horizontal="right" vertical="center"/>
    </xf>
    <xf numFmtId="43" fontId="16" fillId="0" borderId="1" xfId="0" applyNumberFormat="1" applyFont="1" applyFill="1" applyBorder="1" applyAlignment="1">
      <alignment horizontal="left" vertical="center"/>
    </xf>
    <xf numFmtId="43" fontId="18" fillId="0" borderId="1" xfId="0" applyNumberFormat="1" applyFont="1" applyFill="1" applyBorder="1" applyAlignment="1">
      <alignment wrapText="1"/>
    </xf>
    <xf numFmtId="43" fontId="18" fillId="0" borderId="1" xfId="0" applyNumberFormat="1" applyFont="1" applyFill="1" applyBorder="1" applyAlignment="1">
      <alignment horizontal="left" wrapText="1"/>
    </xf>
    <xf numFmtId="43" fontId="4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4" fontId="16" fillId="4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horizont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Normal 2" xfId="21"/>
    <cellStyle name="Normal 4" xfId="22"/>
    <cellStyle name="Normal 3" xfId="23"/>
    <cellStyle name="Vírgula 2" xfId="24"/>
    <cellStyle name="Normal 2 2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8</xdr:col>
      <xdr:colOff>276225</xdr:colOff>
      <xdr:row>6</xdr:row>
      <xdr:rowOff>38100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rcRect l="28753" t="22447" r="30865" b="61772"/>
        <a:stretch>
          <a:fillRect/>
        </a:stretch>
      </xdr:blipFill>
      <xdr:spPr>
        <a:xfrm>
          <a:off x="76200" y="57150"/>
          <a:ext cx="4286250" cy="9525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9</xdr:col>
      <xdr:colOff>133350</xdr:colOff>
      <xdr:row>13</xdr:row>
      <xdr:rowOff>95250</xdr:rowOff>
    </xdr:from>
    <xdr:to>
      <xdr:col>9</xdr:col>
      <xdr:colOff>847725</xdr:colOff>
      <xdr:row>13</xdr:row>
      <xdr:rowOff>95250</xdr:rowOff>
    </xdr:to>
    <xdr:cxnSp macro="">
      <xdr:nvCxnSpPr>
        <xdr:cNvPr id="4" name="Conector reto 3"/>
        <xdr:cNvCxnSpPr/>
      </xdr:nvCxnSpPr>
      <xdr:spPr>
        <a:xfrm>
          <a:off x="5038725" y="2552700"/>
          <a:ext cx="714375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133350</xdr:colOff>
      <xdr:row>25</xdr:row>
      <xdr:rowOff>95250</xdr:rowOff>
    </xdr:from>
    <xdr:to>
      <xdr:col>9</xdr:col>
      <xdr:colOff>857250</xdr:colOff>
      <xdr:row>25</xdr:row>
      <xdr:rowOff>95250</xdr:rowOff>
    </xdr:to>
    <xdr:cxnSp macro="">
      <xdr:nvCxnSpPr>
        <xdr:cNvPr id="5" name="Conector reto 4"/>
        <xdr:cNvCxnSpPr/>
      </xdr:nvCxnSpPr>
      <xdr:spPr>
        <a:xfrm>
          <a:off x="5038725" y="2838450"/>
          <a:ext cx="723900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142875</xdr:colOff>
      <xdr:row>27</xdr:row>
      <xdr:rowOff>114300</xdr:rowOff>
    </xdr:from>
    <xdr:to>
      <xdr:col>9</xdr:col>
      <xdr:colOff>857250</xdr:colOff>
      <xdr:row>27</xdr:row>
      <xdr:rowOff>114300</xdr:rowOff>
    </xdr:to>
    <xdr:cxnSp macro="">
      <xdr:nvCxnSpPr>
        <xdr:cNvPr id="6" name="Conector reto 5"/>
        <xdr:cNvCxnSpPr/>
      </xdr:nvCxnSpPr>
      <xdr:spPr>
        <a:xfrm>
          <a:off x="5048250" y="3162300"/>
          <a:ext cx="714375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40</xdr:row>
      <xdr:rowOff>85725</xdr:rowOff>
    </xdr:from>
    <xdr:to>
      <xdr:col>11</xdr:col>
      <xdr:colOff>885825</xdr:colOff>
      <xdr:row>40</xdr:row>
      <xdr:rowOff>95250</xdr:rowOff>
    </xdr:to>
    <xdr:cxnSp macro="">
      <xdr:nvCxnSpPr>
        <xdr:cNvPr id="7" name="Conector reto 6"/>
        <xdr:cNvCxnSpPr/>
      </xdr:nvCxnSpPr>
      <xdr:spPr>
        <a:xfrm>
          <a:off x="6057900" y="3467100"/>
          <a:ext cx="1714500" cy="9525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142875</xdr:colOff>
      <xdr:row>46</xdr:row>
      <xdr:rowOff>85725</xdr:rowOff>
    </xdr:from>
    <xdr:to>
      <xdr:col>10</xdr:col>
      <xdr:colOff>857250</xdr:colOff>
      <xdr:row>46</xdr:row>
      <xdr:rowOff>85725</xdr:rowOff>
    </xdr:to>
    <xdr:cxnSp macro="">
      <xdr:nvCxnSpPr>
        <xdr:cNvPr id="8" name="Conector reto 7"/>
        <xdr:cNvCxnSpPr/>
      </xdr:nvCxnSpPr>
      <xdr:spPr>
        <a:xfrm>
          <a:off x="6029325" y="3771900"/>
          <a:ext cx="714375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142875</xdr:colOff>
      <xdr:row>49</xdr:row>
      <xdr:rowOff>114300</xdr:rowOff>
    </xdr:from>
    <xdr:to>
      <xdr:col>10</xdr:col>
      <xdr:colOff>866775</xdr:colOff>
      <xdr:row>49</xdr:row>
      <xdr:rowOff>114300</xdr:rowOff>
    </xdr:to>
    <xdr:cxnSp macro="">
      <xdr:nvCxnSpPr>
        <xdr:cNvPr id="9" name="Conector reto 8"/>
        <xdr:cNvCxnSpPr/>
      </xdr:nvCxnSpPr>
      <xdr:spPr>
        <a:xfrm>
          <a:off x="6029325" y="4105275"/>
          <a:ext cx="723900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161925</xdr:colOff>
      <xdr:row>52</xdr:row>
      <xdr:rowOff>104775</xdr:rowOff>
    </xdr:from>
    <xdr:to>
      <xdr:col>11</xdr:col>
      <xdr:colOff>904875</xdr:colOff>
      <xdr:row>52</xdr:row>
      <xdr:rowOff>114300</xdr:rowOff>
    </xdr:to>
    <xdr:cxnSp macro="">
      <xdr:nvCxnSpPr>
        <xdr:cNvPr id="10" name="Conector reto 9"/>
        <xdr:cNvCxnSpPr/>
      </xdr:nvCxnSpPr>
      <xdr:spPr>
        <a:xfrm>
          <a:off x="6048375" y="4410075"/>
          <a:ext cx="1743075" cy="9525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152400</xdr:colOff>
      <xdr:row>95</xdr:row>
      <xdr:rowOff>95250</xdr:rowOff>
    </xdr:from>
    <xdr:to>
      <xdr:col>11</xdr:col>
      <xdr:colOff>876300</xdr:colOff>
      <xdr:row>95</xdr:row>
      <xdr:rowOff>95250</xdr:rowOff>
    </xdr:to>
    <xdr:cxnSp macro="">
      <xdr:nvCxnSpPr>
        <xdr:cNvPr id="12" name="Conector reto 11"/>
        <xdr:cNvCxnSpPr/>
      </xdr:nvCxnSpPr>
      <xdr:spPr>
        <a:xfrm>
          <a:off x="7038975" y="4733925"/>
          <a:ext cx="723900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3</xdr:col>
      <xdr:colOff>2362200</xdr:colOff>
      <xdr:row>6</xdr:row>
      <xdr:rowOff>38100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/>
        <a:srcRect l="28753" t="22447" r="30865" b="61772"/>
        <a:stretch>
          <a:fillRect/>
        </a:stretch>
      </xdr:blipFill>
      <xdr:spPr>
        <a:xfrm>
          <a:off x="76200" y="57150"/>
          <a:ext cx="4286250" cy="952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1"/>
  <sheetViews>
    <sheetView showGridLines="0" tabSelected="1" zoomScale="130" zoomScaleNormal="130" workbookViewId="0" topLeftCell="A1">
      <selection activeCell="B9" sqref="B9"/>
    </sheetView>
  </sheetViews>
  <sheetFormatPr defaultColWidth="9.33203125" defaultRowHeight="12.75"/>
  <cols>
    <col min="1" max="1" width="14" style="1" customWidth="1"/>
    <col min="2" max="2" width="57.5" style="1" customWidth="1"/>
    <col min="3" max="3" width="12.5" style="1" hidden="1" customWidth="1"/>
    <col min="4" max="4" width="58.33203125" style="1" hidden="1" customWidth="1"/>
    <col min="5" max="5" width="8.83203125" style="107" hidden="1" customWidth="1"/>
    <col min="6" max="6" width="7.16015625" style="1" hidden="1" customWidth="1"/>
    <col min="7" max="7" width="13.66015625" style="1" hidden="1" customWidth="1"/>
    <col min="8" max="8" width="15.16015625" style="2" hidden="1" customWidth="1"/>
    <col min="9" max="9" width="14.33203125" style="1" customWidth="1"/>
    <col min="10" max="10" width="17.16015625" style="1" customWidth="1"/>
    <col min="11" max="11" width="17.5" style="1" customWidth="1"/>
    <col min="12" max="12" width="18" style="1" customWidth="1"/>
    <col min="13" max="16384" width="9.33203125" style="1" customWidth="1"/>
  </cols>
  <sheetData>
    <row r="1" spans="1:11" ht="12.75" customHeight="1">
      <c r="A1" s="146"/>
      <c r="B1" s="146"/>
      <c r="C1" s="146"/>
      <c r="D1" s="146"/>
      <c r="E1" s="146"/>
      <c r="F1" s="146"/>
      <c r="G1" s="146"/>
      <c r="H1" s="146"/>
      <c r="I1" s="146"/>
      <c r="J1" s="112"/>
      <c r="K1" s="17"/>
    </row>
    <row r="2" spans="1:11" ht="12.75" customHeight="1">
      <c r="A2" s="146"/>
      <c r="B2" s="146"/>
      <c r="C2" s="146"/>
      <c r="D2" s="146"/>
      <c r="E2" s="146"/>
      <c r="F2" s="146"/>
      <c r="G2" s="146"/>
      <c r="H2" s="146"/>
      <c r="I2" s="146"/>
      <c r="J2" s="112"/>
      <c r="K2" s="17"/>
    </row>
    <row r="3" spans="1:11" ht="12.75" customHeight="1">
      <c r="A3" s="146"/>
      <c r="B3" s="146"/>
      <c r="C3" s="146"/>
      <c r="D3" s="146"/>
      <c r="E3" s="146"/>
      <c r="F3" s="146"/>
      <c r="G3" s="146"/>
      <c r="H3" s="146"/>
      <c r="I3" s="146"/>
      <c r="J3" s="112"/>
      <c r="K3" s="17"/>
    </row>
    <row r="4" spans="1:11" ht="12.75" customHeight="1">
      <c r="A4" s="146"/>
      <c r="B4" s="146"/>
      <c r="C4" s="146"/>
      <c r="D4" s="146"/>
      <c r="E4" s="146"/>
      <c r="F4" s="146"/>
      <c r="G4" s="146"/>
      <c r="H4" s="146"/>
      <c r="I4" s="146"/>
      <c r="J4" s="112"/>
      <c r="K4" s="17"/>
    </row>
    <row r="5" spans="1:11" ht="12.75" customHeight="1">
      <c r="A5" s="146"/>
      <c r="B5" s="146"/>
      <c r="C5" s="146"/>
      <c r="D5" s="146"/>
      <c r="E5" s="146"/>
      <c r="F5" s="146"/>
      <c r="G5" s="146"/>
      <c r="H5" s="146"/>
      <c r="I5" s="146"/>
      <c r="J5" s="112"/>
      <c r="K5" s="17"/>
    </row>
    <row r="6" spans="1:11" ht="12.75" customHeight="1">
      <c r="A6" s="146"/>
      <c r="B6" s="146"/>
      <c r="C6" s="146"/>
      <c r="D6" s="146"/>
      <c r="E6" s="146"/>
      <c r="F6" s="146"/>
      <c r="G6" s="146"/>
      <c r="H6" s="146"/>
      <c r="I6" s="146"/>
      <c r="J6" s="112"/>
      <c r="K6" s="17"/>
    </row>
    <row r="7" spans="1:11" ht="12.75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7"/>
    </row>
    <row r="8" spans="1:12" ht="26.25" customHeight="1">
      <c r="A8" s="149" t="s">
        <v>300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</row>
    <row r="9" spans="1:11" ht="12.75" customHeight="1">
      <c r="A9" s="9" t="s">
        <v>0</v>
      </c>
      <c r="B9" s="39" t="s">
        <v>302</v>
      </c>
      <c r="C9" s="9"/>
      <c r="D9" s="13" t="s">
        <v>275</v>
      </c>
      <c r="E9" s="100"/>
      <c r="F9" s="17"/>
      <c r="G9" s="17"/>
      <c r="H9" s="12"/>
      <c r="I9" s="17"/>
      <c r="J9" s="17"/>
      <c r="K9" s="17"/>
    </row>
    <row r="10" spans="1:11" ht="12.75">
      <c r="A10" s="39" t="s">
        <v>1</v>
      </c>
      <c r="B10" s="13" t="s">
        <v>294</v>
      </c>
      <c r="C10" s="13"/>
      <c r="D10" s="13" t="s">
        <v>294</v>
      </c>
      <c r="E10" s="101"/>
      <c r="F10" s="16"/>
      <c r="G10" s="17"/>
      <c r="H10" s="12"/>
      <c r="I10" s="17"/>
      <c r="J10" s="17"/>
      <c r="K10" s="17"/>
    </row>
    <row r="11" spans="1:11" ht="12.75">
      <c r="A11" s="13" t="s">
        <v>20</v>
      </c>
      <c r="B11" s="22">
        <v>0.2034</v>
      </c>
      <c r="C11" s="13"/>
      <c r="D11" s="22">
        <v>0.2034</v>
      </c>
      <c r="E11" s="101"/>
      <c r="F11" s="16"/>
      <c r="G11" s="17"/>
      <c r="H11" s="12"/>
      <c r="I11" s="17"/>
      <c r="J11" s="17"/>
      <c r="K11" s="17"/>
    </row>
    <row r="12" spans="1:11" ht="12.75">
      <c r="A12" s="31"/>
      <c r="B12" s="31"/>
      <c r="C12" s="31"/>
      <c r="D12" s="31"/>
      <c r="E12" s="100"/>
      <c r="F12" s="31"/>
      <c r="G12" s="31"/>
      <c r="H12" s="31" t="s">
        <v>27</v>
      </c>
      <c r="I12" s="32">
        <v>0.2034</v>
      </c>
      <c r="J12" s="17"/>
      <c r="K12" s="17"/>
    </row>
    <row r="13" spans="1:12" ht="27" customHeight="1">
      <c r="A13" s="59" t="s">
        <v>42</v>
      </c>
      <c r="B13" s="59" t="s">
        <v>41</v>
      </c>
      <c r="C13" s="59" t="s">
        <v>15</v>
      </c>
      <c r="D13" s="59" t="s">
        <v>43</v>
      </c>
      <c r="E13" s="102" t="s">
        <v>14</v>
      </c>
      <c r="F13" s="59" t="s">
        <v>4</v>
      </c>
      <c r="G13" s="59" t="s">
        <v>11</v>
      </c>
      <c r="H13" s="60" t="s">
        <v>13</v>
      </c>
      <c r="I13" s="59" t="s">
        <v>12</v>
      </c>
      <c r="J13" s="133" t="s">
        <v>297</v>
      </c>
      <c r="K13" s="133" t="s">
        <v>298</v>
      </c>
      <c r="L13" s="134" t="s">
        <v>299</v>
      </c>
    </row>
    <row r="14" spans="1:12" ht="22.5" customHeight="1">
      <c r="A14" s="61">
        <v>1</v>
      </c>
      <c r="B14" s="62" t="s">
        <v>23</v>
      </c>
      <c r="C14" s="63"/>
      <c r="D14" s="64"/>
      <c r="E14" s="103"/>
      <c r="F14" s="64"/>
      <c r="G14" s="65"/>
      <c r="H14" s="65"/>
      <c r="I14" s="129">
        <f>I15+I18+I21</f>
        <v>29337.747302439027</v>
      </c>
      <c r="J14" s="143">
        <f>I14</f>
        <v>29337.747302439027</v>
      </c>
      <c r="K14" s="144"/>
      <c r="L14" s="135"/>
    </row>
    <row r="15" spans="1:12" ht="12.75" hidden="1">
      <c r="A15" s="67" t="s">
        <v>2</v>
      </c>
      <c r="B15" s="68" t="s">
        <v>24</v>
      </c>
      <c r="C15" s="69"/>
      <c r="D15" s="70"/>
      <c r="E15" s="104"/>
      <c r="F15" s="71"/>
      <c r="G15" s="72"/>
      <c r="H15" s="72"/>
      <c r="I15" s="130">
        <f>I16+I17</f>
        <v>1339.4096377235774</v>
      </c>
      <c r="J15" s="143"/>
      <c r="K15" s="144"/>
      <c r="L15" s="135"/>
    </row>
    <row r="16" spans="1:12" ht="12.75" hidden="1">
      <c r="A16" s="74" t="s">
        <v>29</v>
      </c>
      <c r="B16" s="75" t="s">
        <v>28</v>
      </c>
      <c r="C16" s="49" t="s">
        <v>26</v>
      </c>
      <c r="D16" s="50" t="s">
        <v>25</v>
      </c>
      <c r="E16" s="105">
        <f>'MEMÓRIA DE CALCULO'!H9</f>
        <v>0.8</v>
      </c>
      <c r="F16" s="76" t="s">
        <v>7</v>
      </c>
      <c r="G16" s="77">
        <f>226.81/1.23</f>
        <v>184.39837398373984</v>
      </c>
      <c r="H16" s="124">
        <f>I12*G16+G16</f>
        <v>221.90500325203254</v>
      </c>
      <c r="I16" s="77">
        <f>H16*E16</f>
        <v>177.52400260162605</v>
      </c>
      <c r="J16" s="143"/>
      <c r="K16" s="144"/>
      <c r="L16" s="135"/>
    </row>
    <row r="17" spans="1:12" ht="12.75" hidden="1">
      <c r="A17" s="74" t="s">
        <v>40</v>
      </c>
      <c r="B17" s="75" t="s">
        <v>28</v>
      </c>
      <c r="C17" s="51" t="s">
        <v>38</v>
      </c>
      <c r="D17" s="50" t="s">
        <v>37</v>
      </c>
      <c r="E17" s="105">
        <f>'MEMÓRIA DE CALCULO'!G16</f>
        <v>14.4</v>
      </c>
      <c r="F17" s="76" t="s">
        <v>7</v>
      </c>
      <c r="G17" s="77">
        <f>82.47/1.23</f>
        <v>67.04878048780488</v>
      </c>
      <c r="H17" s="124">
        <f>I12*G17+G17</f>
        <v>80.6865024390244</v>
      </c>
      <c r="I17" s="77">
        <f>H17*E17</f>
        <v>1161.8856351219513</v>
      </c>
      <c r="J17" s="143"/>
      <c r="K17" s="144"/>
      <c r="L17" s="135"/>
    </row>
    <row r="18" spans="1:12" ht="12.75" hidden="1">
      <c r="A18" s="78" t="s">
        <v>3</v>
      </c>
      <c r="B18" s="79" t="s">
        <v>44</v>
      </c>
      <c r="C18" s="80"/>
      <c r="D18" s="81"/>
      <c r="E18" s="106"/>
      <c r="F18" s="82"/>
      <c r="G18" s="83"/>
      <c r="H18" s="83"/>
      <c r="I18" s="130">
        <f>I19+I20</f>
        <v>26924.587871544718</v>
      </c>
      <c r="J18" s="143"/>
      <c r="K18" s="144"/>
      <c r="L18" s="135"/>
    </row>
    <row r="19" spans="1:12" s="5" customFormat="1" ht="11.25" customHeight="1" hidden="1">
      <c r="A19" s="85" t="s">
        <v>45</v>
      </c>
      <c r="B19" s="86" t="s">
        <v>28</v>
      </c>
      <c r="C19" s="86" t="s">
        <v>9</v>
      </c>
      <c r="D19" s="85" t="s">
        <v>10</v>
      </c>
      <c r="E19" s="87">
        <v>1</v>
      </c>
      <c r="F19" s="86" t="s">
        <v>4</v>
      </c>
      <c r="G19" s="88">
        <f>2308.69/1.23</f>
        <v>1876.9837398373984</v>
      </c>
      <c r="H19" s="125">
        <f>I12*G19+G19</f>
        <v>2258.762232520325</v>
      </c>
      <c r="I19" s="88">
        <f>E19*H19</f>
        <v>2258.762232520325</v>
      </c>
      <c r="J19" s="137"/>
      <c r="K19" s="138"/>
      <c r="L19" s="135"/>
    </row>
    <row r="20" spans="1:12" s="5" customFormat="1" ht="25.5" hidden="1">
      <c r="A20" s="85" t="s">
        <v>46</v>
      </c>
      <c r="B20" s="86" t="s">
        <v>28</v>
      </c>
      <c r="C20" s="86" t="s">
        <v>21</v>
      </c>
      <c r="D20" s="85" t="s">
        <v>22</v>
      </c>
      <c r="E20" s="87">
        <f>'MEMÓRIA DE CALCULO'!C25</f>
        <v>48</v>
      </c>
      <c r="F20" s="86" t="s">
        <v>17</v>
      </c>
      <c r="G20" s="88">
        <f>525.23/1.23</f>
        <v>427.01626016260167</v>
      </c>
      <c r="H20" s="125">
        <f>I12*G20+G20</f>
        <v>513.8713674796749</v>
      </c>
      <c r="I20" s="88">
        <f>E20*H20</f>
        <v>24665.82563902439</v>
      </c>
      <c r="J20" s="137"/>
      <c r="K20" s="136"/>
      <c r="L20" s="135"/>
    </row>
    <row r="21" spans="1:12" s="5" customFormat="1" ht="12.75" hidden="1">
      <c r="A21" s="78" t="s">
        <v>47</v>
      </c>
      <c r="B21" s="79" t="s">
        <v>48</v>
      </c>
      <c r="C21" s="80"/>
      <c r="D21" s="81"/>
      <c r="E21" s="106"/>
      <c r="F21" s="82"/>
      <c r="G21" s="83"/>
      <c r="H21" s="83"/>
      <c r="I21" s="130">
        <f>I22+I23</f>
        <v>1073.7497931707317</v>
      </c>
      <c r="J21" s="137"/>
      <c r="K21" s="136"/>
      <c r="L21" s="135"/>
    </row>
    <row r="22" spans="1:12" s="5" customFormat="1" ht="12.75" hidden="1">
      <c r="A22" s="85" t="s">
        <v>49</v>
      </c>
      <c r="B22" s="86" t="s">
        <v>28</v>
      </c>
      <c r="C22" s="51" t="s">
        <v>53</v>
      </c>
      <c r="D22" s="50" t="s">
        <v>52</v>
      </c>
      <c r="E22" s="87">
        <f>'MEMÓRIA DE CALCULO'!E31</f>
        <v>14.4</v>
      </c>
      <c r="F22" s="86" t="s">
        <v>7</v>
      </c>
      <c r="G22" s="88">
        <f>72.16/1.23</f>
        <v>58.666666666666664</v>
      </c>
      <c r="H22" s="125">
        <f>I12*G22+G22</f>
        <v>70.59946666666666</v>
      </c>
      <c r="I22" s="88">
        <f>H22*E22</f>
        <v>1016.6323199999999</v>
      </c>
      <c r="J22" s="137"/>
      <c r="K22" s="136"/>
      <c r="L22" s="135"/>
    </row>
    <row r="23" spans="1:12" s="5" customFormat="1" ht="12.75" hidden="1">
      <c r="A23" s="85" t="s">
        <v>50</v>
      </c>
      <c r="B23" s="86" t="s">
        <v>28</v>
      </c>
      <c r="C23" s="51" t="s">
        <v>55</v>
      </c>
      <c r="D23" s="50" t="s">
        <v>54</v>
      </c>
      <c r="E23" s="87">
        <f>'MEMÓRIA DE CALCULO'!G36</f>
        <v>6</v>
      </c>
      <c r="F23" s="86" t="s">
        <v>8</v>
      </c>
      <c r="G23" s="88">
        <f>9.73/1.23</f>
        <v>7.910569105691057</v>
      </c>
      <c r="H23" s="125">
        <f>I12*G23+G23</f>
        <v>9.519578861788618</v>
      </c>
      <c r="I23" s="88">
        <f>H23*E23</f>
        <v>57.117473170731714</v>
      </c>
      <c r="J23" s="137"/>
      <c r="K23" s="136"/>
      <c r="L23" s="135"/>
    </row>
    <row r="24" spans="1:12" s="5" customFormat="1" ht="12.75" hidden="1">
      <c r="A24" s="85" t="s">
        <v>51</v>
      </c>
      <c r="B24" s="86" t="s">
        <v>28</v>
      </c>
      <c r="C24" s="52" t="s">
        <v>57</v>
      </c>
      <c r="D24" s="53" t="s">
        <v>56</v>
      </c>
      <c r="E24" s="87">
        <f>'MEMÓRIA DE CALCULO'!G43</f>
        <v>1.44</v>
      </c>
      <c r="F24" s="86" t="s">
        <v>8</v>
      </c>
      <c r="G24" s="88">
        <f>146.62/1.23</f>
        <v>119.20325203252033</v>
      </c>
      <c r="H24" s="125">
        <f>I12*G24+G24</f>
        <v>143.44919349593496</v>
      </c>
      <c r="I24" s="88">
        <f>H24*E24</f>
        <v>206.56683863414634</v>
      </c>
      <c r="J24" s="137"/>
      <c r="K24" s="136"/>
      <c r="L24" s="135"/>
    </row>
    <row r="25" spans="1:12" s="5" customFormat="1" ht="25.5" hidden="1">
      <c r="A25" s="85" t="s">
        <v>61</v>
      </c>
      <c r="B25" s="86" t="s">
        <v>28</v>
      </c>
      <c r="C25" s="49" t="s">
        <v>60</v>
      </c>
      <c r="D25" s="54" t="s">
        <v>59</v>
      </c>
      <c r="E25" s="87">
        <f>'MEMÓRIA DE CALCULO'!G51</f>
        <v>6</v>
      </c>
      <c r="F25" s="86" t="s">
        <v>8</v>
      </c>
      <c r="G25" s="88">
        <f>55.46/1.23</f>
        <v>45.08943089430895</v>
      </c>
      <c r="H25" s="125">
        <f>I12*G25+G25</f>
        <v>54.260621138211384</v>
      </c>
      <c r="I25" s="88">
        <f>H25*E25</f>
        <v>325.5637268292683</v>
      </c>
      <c r="J25" s="137"/>
      <c r="K25" s="136"/>
      <c r="L25" s="135"/>
    </row>
    <row r="26" spans="1:12" ht="24" customHeight="1">
      <c r="A26" s="61">
        <v>2</v>
      </c>
      <c r="B26" s="62" t="s">
        <v>19</v>
      </c>
      <c r="C26" s="63"/>
      <c r="D26" s="64"/>
      <c r="E26" s="103"/>
      <c r="F26" s="64"/>
      <c r="G26" s="64"/>
      <c r="H26" s="64"/>
      <c r="I26" s="129">
        <f>I27</f>
        <v>316.60182113821133</v>
      </c>
      <c r="J26" s="143">
        <f>I26</f>
        <v>316.60182113821133</v>
      </c>
      <c r="K26" s="144"/>
      <c r="L26" s="135"/>
    </row>
    <row r="27" spans="1:12" s="5" customFormat="1" ht="12.75" hidden="1">
      <c r="A27" s="89" t="s">
        <v>18</v>
      </c>
      <c r="B27" s="90" t="s">
        <v>28</v>
      </c>
      <c r="C27" s="90" t="s">
        <v>16</v>
      </c>
      <c r="D27" s="89" t="s">
        <v>19</v>
      </c>
      <c r="E27" s="91">
        <v>20</v>
      </c>
      <c r="F27" s="90" t="s">
        <v>17</v>
      </c>
      <c r="G27" s="92">
        <f>16.18/1.23</f>
        <v>13.154471544715447</v>
      </c>
      <c r="H27" s="126">
        <f>I12*G27+G27</f>
        <v>15.830091056910568</v>
      </c>
      <c r="I27" s="88">
        <f>E27*H27</f>
        <v>316.60182113821133</v>
      </c>
      <c r="J27" s="136"/>
      <c r="K27" s="136"/>
      <c r="L27" s="135"/>
    </row>
    <row r="28" spans="1:12" s="5" customFormat="1" ht="26.25" customHeight="1">
      <c r="A28" s="61">
        <v>3</v>
      </c>
      <c r="B28" s="62" t="s">
        <v>62</v>
      </c>
      <c r="C28" s="63"/>
      <c r="D28" s="64"/>
      <c r="E28" s="103"/>
      <c r="F28" s="64"/>
      <c r="G28" s="64"/>
      <c r="H28" s="64"/>
      <c r="I28" s="129">
        <f>I29+I35</f>
        <v>4013.918508032114</v>
      </c>
      <c r="J28" s="136">
        <f>I28</f>
        <v>4013.918508032114</v>
      </c>
      <c r="K28" s="136"/>
      <c r="L28" s="135"/>
    </row>
    <row r="29" spans="1:12" s="5" customFormat="1" ht="12.75" customHeight="1" hidden="1">
      <c r="A29" s="67" t="s">
        <v>76</v>
      </c>
      <c r="B29" s="68" t="s">
        <v>109</v>
      </c>
      <c r="C29" s="69"/>
      <c r="D29" s="70"/>
      <c r="E29" s="104"/>
      <c r="F29" s="71"/>
      <c r="G29" s="72"/>
      <c r="H29" s="72"/>
      <c r="I29" s="130">
        <f>SUM(I30:I34)</f>
        <v>3681.6576963252032</v>
      </c>
      <c r="J29" s="136"/>
      <c r="K29" s="136"/>
      <c r="L29" s="135"/>
    </row>
    <row r="30" spans="1:12" s="5" customFormat="1" ht="25.5" hidden="1">
      <c r="A30" s="89" t="s">
        <v>111</v>
      </c>
      <c r="B30" s="90" t="s">
        <v>28</v>
      </c>
      <c r="C30" s="49" t="s">
        <v>65</v>
      </c>
      <c r="D30" s="54" t="s">
        <v>66</v>
      </c>
      <c r="E30" s="91">
        <f>'MEMÓRIA DE CALCULO'!H59</f>
        <v>33.66</v>
      </c>
      <c r="F30" s="90" t="s">
        <v>8</v>
      </c>
      <c r="G30" s="92">
        <f>17.36/1.23</f>
        <v>14.113821138211382</v>
      </c>
      <c r="H30" s="126">
        <f>I12*G30+G30</f>
        <v>16.984572357723575</v>
      </c>
      <c r="I30" s="88">
        <f>H30*E30</f>
        <v>571.7007055609755</v>
      </c>
      <c r="J30" s="136"/>
      <c r="K30" s="136"/>
      <c r="L30" s="135"/>
    </row>
    <row r="31" spans="1:12" s="5" customFormat="1" ht="25.5" hidden="1">
      <c r="A31" s="89" t="s">
        <v>112</v>
      </c>
      <c r="B31" s="90" t="s">
        <v>28</v>
      </c>
      <c r="C31" s="49" t="s">
        <v>72</v>
      </c>
      <c r="D31" s="55" t="s">
        <v>71</v>
      </c>
      <c r="E31" s="91">
        <f>'MEMÓRIA DE CALCULO'!H63</f>
        <v>3.12</v>
      </c>
      <c r="F31" s="90" t="s">
        <v>8</v>
      </c>
      <c r="G31" s="92">
        <f>37.11/1.23</f>
        <v>30.170731707317074</v>
      </c>
      <c r="H31" s="126">
        <f>I12*G31+G31</f>
        <v>36.307458536585365</v>
      </c>
      <c r="I31" s="88">
        <f>H31*E31</f>
        <v>113.27927063414634</v>
      </c>
      <c r="J31" s="136"/>
      <c r="K31" s="136"/>
      <c r="L31" s="135"/>
    </row>
    <row r="32" spans="1:12" s="5" customFormat="1" ht="12.75" hidden="1">
      <c r="A32" s="89" t="s">
        <v>113</v>
      </c>
      <c r="B32" s="90" t="s">
        <v>28</v>
      </c>
      <c r="C32" s="49" t="s">
        <v>64</v>
      </c>
      <c r="D32" s="50" t="s">
        <v>63</v>
      </c>
      <c r="E32" s="91">
        <f>'MEMÓRIA DE CALCULO'!H66</f>
        <v>33.66</v>
      </c>
      <c r="F32" s="90" t="s">
        <v>8</v>
      </c>
      <c r="G32" s="92">
        <f>12.89/1.23</f>
        <v>10.479674796747968</v>
      </c>
      <c r="H32" s="126">
        <f>I12*G32+G32</f>
        <v>12.611240650406504</v>
      </c>
      <c r="I32" s="88">
        <f>H32*E32</f>
        <v>424.49436029268287</v>
      </c>
      <c r="J32" s="136"/>
      <c r="K32" s="136"/>
      <c r="L32" s="135"/>
    </row>
    <row r="33" spans="1:12" s="5" customFormat="1" ht="25.5" hidden="1">
      <c r="A33" s="89" t="s">
        <v>114</v>
      </c>
      <c r="B33" s="90" t="s">
        <v>28</v>
      </c>
      <c r="C33" s="49" t="s">
        <v>68</v>
      </c>
      <c r="D33" s="54" t="s">
        <v>67</v>
      </c>
      <c r="E33" s="91">
        <f>'MEMÓRIA DE CALCULO'!C71</f>
        <v>57.34</v>
      </c>
      <c r="F33" s="90" t="s">
        <v>8</v>
      </c>
      <c r="G33" s="92">
        <f>39.14/1.23</f>
        <v>31.821138211382113</v>
      </c>
      <c r="H33" s="126">
        <f>I12*G33+G33</f>
        <v>38.29355772357724</v>
      </c>
      <c r="I33" s="88">
        <f>H33*E33</f>
        <v>2195.752599869919</v>
      </c>
      <c r="J33" s="136"/>
      <c r="K33" s="136"/>
      <c r="L33" s="135"/>
    </row>
    <row r="34" spans="1:12" s="5" customFormat="1" ht="12.75" hidden="1">
      <c r="A34" s="89" t="s">
        <v>115</v>
      </c>
      <c r="B34" s="90" t="s">
        <v>28</v>
      </c>
      <c r="C34" s="49" t="s">
        <v>70</v>
      </c>
      <c r="D34" s="50" t="s">
        <v>69</v>
      </c>
      <c r="E34" s="91">
        <f>'MEMÓRIA DE CALCULO'!C74</f>
        <v>57.34</v>
      </c>
      <c r="F34" s="90" t="s">
        <v>8</v>
      </c>
      <c r="G34" s="92">
        <f>6.71/1.23</f>
        <v>5.455284552845528</v>
      </c>
      <c r="H34" s="126">
        <f>I12*G34+G34</f>
        <v>6.564889430894309</v>
      </c>
      <c r="I34" s="88">
        <f>H34*E34</f>
        <v>376.4307599674797</v>
      </c>
      <c r="J34" s="136"/>
      <c r="K34" s="136"/>
      <c r="L34" s="135"/>
    </row>
    <row r="35" spans="1:12" s="5" customFormat="1" ht="12.75" hidden="1">
      <c r="A35" s="67" t="s">
        <v>77</v>
      </c>
      <c r="B35" s="68" t="s">
        <v>110</v>
      </c>
      <c r="C35" s="69"/>
      <c r="D35" s="70"/>
      <c r="E35" s="104"/>
      <c r="F35" s="71"/>
      <c r="G35" s="72"/>
      <c r="H35" s="72"/>
      <c r="I35" s="130">
        <f>SUM(I36:I40)</f>
        <v>332.2608117069106</v>
      </c>
      <c r="J35" s="136"/>
      <c r="K35" s="136"/>
      <c r="L35" s="135"/>
    </row>
    <row r="36" spans="1:12" s="5" customFormat="1" ht="25.5" hidden="1">
      <c r="A36" s="109" t="s">
        <v>121</v>
      </c>
      <c r="B36" s="99" t="s">
        <v>28</v>
      </c>
      <c r="C36" s="49" t="s">
        <v>116</v>
      </c>
      <c r="D36" s="131" t="s">
        <v>118</v>
      </c>
      <c r="E36" s="87">
        <v>1</v>
      </c>
      <c r="F36" s="97" t="s">
        <v>117</v>
      </c>
      <c r="G36" s="98">
        <f>50.47/1.23</f>
        <v>41.03252032520325</v>
      </c>
      <c r="H36" s="127">
        <f>I12*G36+G36</f>
        <v>49.378534959349594</v>
      </c>
      <c r="I36" s="98">
        <f>H36*E36</f>
        <v>49.378534959349594</v>
      </c>
      <c r="J36" s="136"/>
      <c r="K36" s="136"/>
      <c r="L36" s="135"/>
    </row>
    <row r="37" spans="1:12" s="5" customFormat="1" ht="25.5" hidden="1">
      <c r="A37" s="74" t="s">
        <v>122</v>
      </c>
      <c r="B37" s="90" t="s">
        <v>28</v>
      </c>
      <c r="C37" s="49" t="s">
        <v>86</v>
      </c>
      <c r="D37" s="58" t="s">
        <v>85</v>
      </c>
      <c r="E37" s="91">
        <f>'MEMÓRIA DE CALCULO'!J84</f>
        <v>1.1985000000000001</v>
      </c>
      <c r="F37" s="90" t="s">
        <v>7</v>
      </c>
      <c r="G37" s="92">
        <f>95.58/1.23</f>
        <v>77.70731707317073</v>
      </c>
      <c r="H37" s="126">
        <f>I12*G37+G37</f>
        <v>93.51298536585365</v>
      </c>
      <c r="I37" s="88">
        <f>H37*E37</f>
        <v>112.07531296097561</v>
      </c>
      <c r="J37" s="136"/>
      <c r="K37" s="136"/>
      <c r="L37" s="135"/>
    </row>
    <row r="38" spans="1:12" s="5" customFormat="1" ht="12.75" hidden="1">
      <c r="A38" s="74" t="s">
        <v>123</v>
      </c>
      <c r="B38" s="75" t="s">
        <v>28</v>
      </c>
      <c r="C38" s="49" t="s">
        <v>26</v>
      </c>
      <c r="D38" s="50" t="s">
        <v>25</v>
      </c>
      <c r="E38" s="105">
        <f>'MEMÓRIA DE CALCULO'!I87</f>
        <v>0.43875000000000003</v>
      </c>
      <c r="F38" s="76" t="s">
        <v>7</v>
      </c>
      <c r="G38" s="77">
        <f>226.81/1.23</f>
        <v>184.39837398373984</v>
      </c>
      <c r="H38" s="124">
        <f>I12*G38+G38</f>
        <v>221.90500325203254</v>
      </c>
      <c r="I38" s="77">
        <f>H38*E38</f>
        <v>97.36082017682928</v>
      </c>
      <c r="J38" s="136"/>
      <c r="K38" s="136"/>
      <c r="L38" s="135"/>
    </row>
    <row r="39" spans="1:12" s="5" customFormat="1" ht="25.5" hidden="1">
      <c r="A39" s="74" t="s">
        <v>129</v>
      </c>
      <c r="B39" s="86" t="s">
        <v>28</v>
      </c>
      <c r="C39" s="49" t="s">
        <v>125</v>
      </c>
      <c r="D39" s="54" t="s">
        <v>124</v>
      </c>
      <c r="E39" s="91">
        <f>'MEMÓRIA DE CALCULO'!F92</f>
        <v>3.2175</v>
      </c>
      <c r="F39" s="90" t="s">
        <v>8</v>
      </c>
      <c r="G39" s="92">
        <f>8.32/1.23</f>
        <v>6.764227642276423</v>
      </c>
      <c r="H39" s="126">
        <f>I12*G39+G39</f>
        <v>8.140071544715447</v>
      </c>
      <c r="I39" s="88">
        <f>H39*E39</f>
        <v>26.19068019512195</v>
      </c>
      <c r="J39" s="136"/>
      <c r="K39" s="136"/>
      <c r="L39" s="135"/>
    </row>
    <row r="40" spans="1:12" s="5" customFormat="1" ht="25.5" hidden="1">
      <c r="A40" s="74" t="s">
        <v>130</v>
      </c>
      <c r="B40" s="99" t="s">
        <v>28</v>
      </c>
      <c r="C40" s="49" t="s">
        <v>127</v>
      </c>
      <c r="D40" s="58" t="s">
        <v>126</v>
      </c>
      <c r="E40" s="87">
        <f>'MEMÓRIA DE CALCULO'!H96</f>
        <v>10.5</v>
      </c>
      <c r="F40" s="86" t="s">
        <v>17</v>
      </c>
      <c r="G40" s="108">
        <f>4.6/1.23</f>
        <v>3.7398373983739837</v>
      </c>
      <c r="H40" s="128">
        <f>G40*I12+G40</f>
        <v>4.500520325203252</v>
      </c>
      <c r="I40" s="108">
        <f>H40*E40</f>
        <v>47.25546341463414</v>
      </c>
      <c r="J40" s="136"/>
      <c r="K40" s="136"/>
      <c r="L40" s="135"/>
    </row>
    <row r="41" spans="1:12" s="5" customFormat="1" ht="24" customHeight="1">
      <c r="A41" s="61">
        <v>4</v>
      </c>
      <c r="B41" s="62" t="s">
        <v>133</v>
      </c>
      <c r="C41" s="63"/>
      <c r="D41" s="64"/>
      <c r="E41" s="103"/>
      <c r="F41" s="64"/>
      <c r="G41" s="64"/>
      <c r="H41" s="64"/>
      <c r="I41" s="129">
        <f>SUM(I42:I46)</f>
        <v>15505.577775006177</v>
      </c>
      <c r="J41" s="136"/>
      <c r="K41" s="136">
        <f>I41/2</f>
        <v>7752.7888875030885</v>
      </c>
      <c r="L41" s="135">
        <f>I41/2</f>
        <v>7752.7888875030885</v>
      </c>
    </row>
    <row r="42" spans="1:12" s="5" customFormat="1" ht="51" hidden="1">
      <c r="A42" s="89" t="s">
        <v>81</v>
      </c>
      <c r="B42" s="49" t="s">
        <v>79</v>
      </c>
      <c r="C42" s="49">
        <v>92580</v>
      </c>
      <c r="D42" s="56" t="s">
        <v>78</v>
      </c>
      <c r="E42" s="91">
        <f>'MEMÓRIA DE CALCULO'!L103</f>
        <v>60.52</v>
      </c>
      <c r="F42" s="90" t="s">
        <v>8</v>
      </c>
      <c r="G42" s="92">
        <v>57.24</v>
      </c>
      <c r="H42" s="126">
        <f>I12*G42+G42</f>
        <v>68.882616</v>
      </c>
      <c r="I42" s="88">
        <f>H42*E42</f>
        <v>4168.77592032</v>
      </c>
      <c r="J42" s="136"/>
      <c r="K42" s="136"/>
      <c r="L42" s="135"/>
    </row>
    <row r="43" spans="1:12" s="5" customFormat="1" ht="25.5" hidden="1">
      <c r="A43" s="89" t="s">
        <v>84</v>
      </c>
      <c r="B43" s="90" t="s">
        <v>28</v>
      </c>
      <c r="C43" s="49" t="s">
        <v>83</v>
      </c>
      <c r="D43" s="55" t="s">
        <v>82</v>
      </c>
      <c r="E43" s="91">
        <f>'MEMÓRIA DE CALCULO'!M107</f>
        <v>60.52</v>
      </c>
      <c r="F43" s="90" t="s">
        <v>8</v>
      </c>
      <c r="G43" s="92">
        <f>143.13/1.23</f>
        <v>116.36585365853658</v>
      </c>
      <c r="H43" s="126">
        <f>I12*G43+G43</f>
        <v>140.0346682926829</v>
      </c>
      <c r="I43" s="88">
        <f>H43*E43</f>
        <v>8474.89812507317</v>
      </c>
      <c r="J43" s="136"/>
      <c r="K43" s="136"/>
      <c r="L43" s="135"/>
    </row>
    <row r="44" spans="1:12" s="5" customFormat="1" ht="12.75" hidden="1">
      <c r="A44" s="89" t="s">
        <v>92</v>
      </c>
      <c r="B44" s="90" t="s">
        <v>28</v>
      </c>
      <c r="C44" s="57" t="s">
        <v>90</v>
      </c>
      <c r="D44" s="50" t="s">
        <v>89</v>
      </c>
      <c r="E44" s="91">
        <f>'MEMÓRIA DE CALCULO'!M110</f>
        <v>13.45</v>
      </c>
      <c r="F44" s="90" t="s">
        <v>17</v>
      </c>
      <c r="G44" s="92">
        <f>66.58/1.23</f>
        <v>54.13008130081301</v>
      </c>
      <c r="H44" s="126">
        <f>I12*G44+G44</f>
        <v>65.14013983739838</v>
      </c>
      <c r="I44" s="88">
        <f>H44*E44</f>
        <v>876.1348808130082</v>
      </c>
      <c r="J44" s="136"/>
      <c r="K44" s="136"/>
      <c r="L44" s="135"/>
    </row>
    <row r="45" spans="1:12" s="5" customFormat="1" ht="25.5" hidden="1">
      <c r="A45" s="89" t="s">
        <v>93</v>
      </c>
      <c r="B45" s="90" t="s">
        <v>28</v>
      </c>
      <c r="C45" s="49" t="s">
        <v>86</v>
      </c>
      <c r="D45" s="58" t="s">
        <v>85</v>
      </c>
      <c r="E45" s="91">
        <f>'MEMÓRIA DE CALCULO'!K114</f>
        <v>0.37200000000000005</v>
      </c>
      <c r="F45" s="90" t="s">
        <v>7</v>
      </c>
      <c r="G45" s="92">
        <f>95.58/1.23</f>
        <v>77.70731707317073</v>
      </c>
      <c r="H45" s="126">
        <f>I12*G45+G45</f>
        <v>93.51298536585365</v>
      </c>
      <c r="I45" s="88">
        <f>H45*E45</f>
        <v>34.78683055609756</v>
      </c>
      <c r="J45" s="136"/>
      <c r="K45" s="136"/>
      <c r="L45" s="135"/>
    </row>
    <row r="46" spans="1:12" s="5" customFormat="1" ht="12.75" hidden="1">
      <c r="A46" s="89" t="s">
        <v>101</v>
      </c>
      <c r="B46" s="90" t="s">
        <v>28</v>
      </c>
      <c r="C46" s="132" t="s">
        <v>100</v>
      </c>
      <c r="D46" s="50" t="s">
        <v>99</v>
      </c>
      <c r="E46" s="91">
        <f>'MEMÓRIA DE CALCULO'!Q117</f>
        <v>39.285</v>
      </c>
      <c r="F46" s="90" t="s">
        <v>8</v>
      </c>
      <c r="G46" s="92">
        <f>50.76/1.23</f>
        <v>41.26829268292683</v>
      </c>
      <c r="H46" s="126">
        <f>I12*G46+G46</f>
        <v>49.66226341463414</v>
      </c>
      <c r="I46" s="88">
        <f>H46*E46</f>
        <v>1950.982018243902</v>
      </c>
      <c r="J46" s="136"/>
      <c r="K46" s="136"/>
      <c r="L46" s="135"/>
    </row>
    <row r="47" spans="1:12" s="5" customFormat="1" ht="24" customHeight="1">
      <c r="A47" s="61">
        <v>5</v>
      </c>
      <c r="B47" s="62" t="s">
        <v>91</v>
      </c>
      <c r="C47" s="63"/>
      <c r="D47" s="64"/>
      <c r="E47" s="103"/>
      <c r="F47" s="64"/>
      <c r="G47" s="64"/>
      <c r="H47" s="64"/>
      <c r="I47" s="129">
        <f>SUM(I48:I49)</f>
        <v>1237.8665500487805</v>
      </c>
      <c r="J47" s="136"/>
      <c r="K47" s="136">
        <f>I47</f>
        <v>1237.8665500487805</v>
      </c>
      <c r="L47" s="135"/>
    </row>
    <row r="48" spans="1:12" s="5" customFormat="1" ht="12.75" hidden="1">
      <c r="A48" s="89" t="s">
        <v>96</v>
      </c>
      <c r="B48" s="90" t="s">
        <v>28</v>
      </c>
      <c r="C48" s="49" t="s">
        <v>95</v>
      </c>
      <c r="D48" s="53" t="s">
        <v>94</v>
      </c>
      <c r="E48" s="91">
        <f>'MEMÓRIA DE CALCULO'!C122</f>
        <v>3.12</v>
      </c>
      <c r="F48" s="90" t="s">
        <v>8</v>
      </c>
      <c r="G48" s="92">
        <f>370.07/1.23</f>
        <v>300.869918699187</v>
      </c>
      <c r="H48" s="126">
        <f>I12*G48+G48</f>
        <v>362.06686016260164</v>
      </c>
      <c r="I48" s="88">
        <f>H48*E48</f>
        <v>1129.648603707317</v>
      </c>
      <c r="J48" s="136"/>
      <c r="K48" s="136"/>
      <c r="L48" s="135"/>
    </row>
    <row r="49" spans="1:12" s="5" customFormat="1" ht="12.75" hidden="1">
      <c r="A49" s="89" t="s">
        <v>108</v>
      </c>
      <c r="B49" s="90" t="s">
        <v>98</v>
      </c>
      <c r="C49" s="93">
        <v>65509</v>
      </c>
      <c r="D49" s="94" t="s">
        <v>97</v>
      </c>
      <c r="E49" s="91">
        <v>1</v>
      </c>
      <c r="F49" s="90" t="s">
        <v>4</v>
      </c>
      <c r="G49" s="92">
        <f>110.61/1.23</f>
        <v>89.92682926829268</v>
      </c>
      <c r="H49" s="126">
        <f>I12*G49+G49</f>
        <v>108.2179463414634</v>
      </c>
      <c r="I49" s="88">
        <f>H49*E49</f>
        <v>108.2179463414634</v>
      </c>
      <c r="J49" s="136"/>
      <c r="K49" s="136"/>
      <c r="L49" s="135"/>
    </row>
    <row r="50" spans="1:12" s="5" customFormat="1" ht="24.75" customHeight="1">
      <c r="A50" s="61">
        <v>6</v>
      </c>
      <c r="B50" s="62" t="s">
        <v>131</v>
      </c>
      <c r="C50" s="63"/>
      <c r="D50" s="64"/>
      <c r="E50" s="103"/>
      <c r="F50" s="64"/>
      <c r="G50" s="64"/>
      <c r="H50" s="64"/>
      <c r="I50" s="129">
        <f>SUM(I51:I52)</f>
        <v>3219.537792497561</v>
      </c>
      <c r="J50" s="136"/>
      <c r="K50" s="136">
        <f>I50</f>
        <v>3219.537792497561</v>
      </c>
      <c r="L50" s="135"/>
    </row>
    <row r="51" spans="1:12" s="5" customFormat="1" ht="25.5" hidden="1">
      <c r="A51" s="89" t="s">
        <v>106</v>
      </c>
      <c r="B51" s="90" t="s">
        <v>28</v>
      </c>
      <c r="C51" s="49" t="s">
        <v>104</v>
      </c>
      <c r="D51" s="54" t="s">
        <v>103</v>
      </c>
      <c r="E51" s="91">
        <f>'MEMÓRIA DE CALCULO'!H129</f>
        <v>33.66</v>
      </c>
      <c r="F51" s="90" t="s">
        <v>8</v>
      </c>
      <c r="G51" s="92">
        <f>33.68/1.23</f>
        <v>27.382113821138212</v>
      </c>
      <c r="H51" s="126">
        <f>I12*G51+G51</f>
        <v>32.951635772357726</v>
      </c>
      <c r="I51" s="88">
        <f>H51*E51</f>
        <v>1109.152060097561</v>
      </c>
      <c r="J51" s="136"/>
      <c r="K51" s="136"/>
      <c r="L51" s="135"/>
    </row>
    <row r="52" spans="1:12" s="5" customFormat="1" ht="42.75" customHeight="1" hidden="1">
      <c r="A52" s="89" t="s">
        <v>107</v>
      </c>
      <c r="B52" s="90" t="s">
        <v>79</v>
      </c>
      <c r="C52" s="49">
        <v>87251</v>
      </c>
      <c r="D52" s="54" t="s">
        <v>105</v>
      </c>
      <c r="E52" s="91">
        <f>'MEMÓRIA DE CALCULO'!H129</f>
        <v>33.66</v>
      </c>
      <c r="F52" s="90" t="s">
        <v>8</v>
      </c>
      <c r="G52" s="92">
        <v>52.1</v>
      </c>
      <c r="H52" s="126">
        <f>I12*G52+G52</f>
        <v>62.697140000000005</v>
      </c>
      <c r="I52" s="88">
        <f>H52*E52</f>
        <v>2110.3857324</v>
      </c>
      <c r="J52" s="136"/>
      <c r="K52" s="136"/>
      <c r="L52" s="135"/>
    </row>
    <row r="53" spans="1:12" s="5" customFormat="1" ht="26.25" customHeight="1">
      <c r="A53" s="61">
        <v>7</v>
      </c>
      <c r="B53" s="62" t="s">
        <v>132</v>
      </c>
      <c r="C53" s="63"/>
      <c r="D53" s="64"/>
      <c r="E53" s="103"/>
      <c r="F53" s="64"/>
      <c r="G53" s="64"/>
      <c r="H53" s="64"/>
      <c r="I53" s="129">
        <f>'PLANILHA '!I52</f>
        <v>27805.538849791523</v>
      </c>
      <c r="J53" s="136"/>
      <c r="K53" s="136">
        <f>I53/2</f>
        <v>13902.769424895761</v>
      </c>
      <c r="L53" s="135">
        <f>I53/2</f>
        <v>13902.769424895761</v>
      </c>
    </row>
    <row r="54" spans="1:12" s="5" customFormat="1" ht="12.75" hidden="1">
      <c r="A54" s="67" t="s">
        <v>135</v>
      </c>
      <c r="B54" s="68" t="s">
        <v>136</v>
      </c>
      <c r="C54" s="69"/>
      <c r="D54" s="70"/>
      <c r="E54" s="104"/>
      <c r="F54" s="71"/>
      <c r="G54" s="72"/>
      <c r="H54" s="72"/>
      <c r="I54" s="130">
        <f>SUM(I55:I62)</f>
        <v>7073.338082299188</v>
      </c>
      <c r="J54" s="136"/>
      <c r="K54" s="136"/>
      <c r="L54" s="135"/>
    </row>
    <row r="55" spans="1:12" s="5" customFormat="1" ht="25.5" hidden="1">
      <c r="A55" s="89" t="s">
        <v>178</v>
      </c>
      <c r="B55" s="90" t="s">
        <v>28</v>
      </c>
      <c r="C55" s="49" t="s">
        <v>296</v>
      </c>
      <c r="D55" s="55" t="s">
        <v>295</v>
      </c>
      <c r="E55" s="87">
        <v>10</v>
      </c>
      <c r="F55" s="86" t="s">
        <v>7</v>
      </c>
      <c r="G55" s="88">
        <f>21.63/1.23</f>
        <v>17.585365853658537</v>
      </c>
      <c r="H55" s="125">
        <f>I12*G55+G55</f>
        <v>21.162229268292684</v>
      </c>
      <c r="I55" s="88">
        <f>H55*E55</f>
        <v>211.62229268292685</v>
      </c>
      <c r="J55" s="136"/>
      <c r="K55" s="136"/>
      <c r="L55" s="135"/>
    </row>
    <row r="56" spans="1:12" s="5" customFormat="1" ht="12.75" hidden="1">
      <c r="A56" s="89" t="s">
        <v>178</v>
      </c>
      <c r="B56" s="90" t="s">
        <v>28</v>
      </c>
      <c r="C56" s="49" t="s">
        <v>138</v>
      </c>
      <c r="D56" s="54" t="s">
        <v>137</v>
      </c>
      <c r="E56" s="87">
        <f>'MEMÓRIA DE CALCULO'!G136</f>
        <v>48</v>
      </c>
      <c r="F56" s="86" t="s">
        <v>17</v>
      </c>
      <c r="G56" s="88">
        <f>90.12/1.23</f>
        <v>73.26829268292684</v>
      </c>
      <c r="H56" s="125">
        <f>I12*G56+G56</f>
        <v>88.17106341463416</v>
      </c>
      <c r="I56" s="88">
        <f>E56*H56</f>
        <v>4232.21104390244</v>
      </c>
      <c r="J56" s="136"/>
      <c r="K56" s="136"/>
      <c r="L56" s="135"/>
    </row>
    <row r="57" spans="1:12" s="5" customFormat="1" ht="12.75" hidden="1">
      <c r="A57" s="89" t="s">
        <v>179</v>
      </c>
      <c r="B57" s="90" t="s">
        <v>28</v>
      </c>
      <c r="C57" s="49" t="s">
        <v>38</v>
      </c>
      <c r="D57" s="50" t="s">
        <v>37</v>
      </c>
      <c r="E57" s="87">
        <f>'MEMÓRIA DE CALCULO'!E141</f>
        <v>0.8069999999999999</v>
      </c>
      <c r="F57" s="86" t="s">
        <v>7</v>
      </c>
      <c r="G57" s="88">
        <f>82.47/1.23</f>
        <v>67.04878048780488</v>
      </c>
      <c r="H57" s="125">
        <f>I12*G57+G57</f>
        <v>80.6865024390244</v>
      </c>
      <c r="I57" s="88">
        <f aca="true" t="shared" si="0" ref="I57:I62">E57*H57</f>
        <v>65.11400746829268</v>
      </c>
      <c r="J57" s="136"/>
      <c r="K57" s="136"/>
      <c r="L57" s="135"/>
    </row>
    <row r="58" spans="1:12" s="5" customFormat="1" ht="12.75" hidden="1">
      <c r="A58" s="89" t="s">
        <v>180</v>
      </c>
      <c r="B58" s="90" t="s">
        <v>28</v>
      </c>
      <c r="C58" s="49" t="s">
        <v>141</v>
      </c>
      <c r="D58" s="50" t="s">
        <v>52</v>
      </c>
      <c r="E58" s="87">
        <f>'MEMÓRIA DE CALCULO'!E146</f>
        <v>0.40349999999999997</v>
      </c>
      <c r="F58" s="86" t="s">
        <v>7</v>
      </c>
      <c r="G58" s="88">
        <f>72.16/1.23</f>
        <v>58.666666666666664</v>
      </c>
      <c r="H58" s="125">
        <f>I12*G58+G58</f>
        <v>70.59946666666666</v>
      </c>
      <c r="I58" s="88">
        <f t="shared" si="0"/>
        <v>28.486884799999995</v>
      </c>
      <c r="J58" s="136"/>
      <c r="K58" s="136"/>
      <c r="L58" s="135"/>
    </row>
    <row r="59" spans="1:12" s="5" customFormat="1" ht="12.75" hidden="1">
      <c r="A59" s="89" t="s">
        <v>181</v>
      </c>
      <c r="B59" s="90" t="s">
        <v>28</v>
      </c>
      <c r="C59" s="49" t="s">
        <v>142</v>
      </c>
      <c r="D59" s="50" t="s">
        <v>54</v>
      </c>
      <c r="E59" s="87">
        <f>'MEMÓRIA DE CALCULO'!E151</f>
        <v>2.69</v>
      </c>
      <c r="F59" s="86" t="s">
        <v>8</v>
      </c>
      <c r="G59" s="88">
        <f>9.73/1.23</f>
        <v>7.910569105691057</v>
      </c>
      <c r="H59" s="125">
        <f>I12*G59+G59</f>
        <v>9.519578861788618</v>
      </c>
      <c r="I59" s="88">
        <f t="shared" si="0"/>
        <v>25.607667138211383</v>
      </c>
      <c r="J59" s="136"/>
      <c r="K59" s="136"/>
      <c r="L59" s="135"/>
    </row>
    <row r="60" spans="1:12" s="5" customFormat="1" ht="12.75" hidden="1">
      <c r="A60" s="89" t="s">
        <v>182</v>
      </c>
      <c r="B60" s="90" t="s">
        <v>28</v>
      </c>
      <c r="C60" s="49" t="s">
        <v>57</v>
      </c>
      <c r="D60" s="50" t="s">
        <v>56</v>
      </c>
      <c r="E60" s="87">
        <f>'MEMÓRIA DE CALCULO'!E156</f>
        <v>8.069999999999999</v>
      </c>
      <c r="F60" s="86" t="s">
        <v>8</v>
      </c>
      <c r="G60" s="88">
        <f>146.62/1.23</f>
        <v>119.20325203252033</v>
      </c>
      <c r="H60" s="125">
        <f>I12*G60+G60</f>
        <v>143.44919349593496</v>
      </c>
      <c r="I60" s="88">
        <f t="shared" si="0"/>
        <v>1157.634991512195</v>
      </c>
      <c r="J60" s="136"/>
      <c r="K60" s="136"/>
      <c r="L60" s="135"/>
    </row>
    <row r="61" spans="1:12" s="5" customFormat="1" ht="12.75" hidden="1">
      <c r="A61" s="89" t="s">
        <v>183</v>
      </c>
      <c r="B61" s="90" t="s">
        <v>28</v>
      </c>
      <c r="C61" s="49" t="s">
        <v>144</v>
      </c>
      <c r="D61" s="50" t="s">
        <v>143</v>
      </c>
      <c r="E61" s="87">
        <f>'MEMÓRIA DE CALCULO'!E161</f>
        <v>0.8069999999999999</v>
      </c>
      <c r="F61" s="86" t="s">
        <v>7</v>
      </c>
      <c r="G61" s="88">
        <f>586.91/1.23</f>
        <v>477.1626016260162</v>
      </c>
      <c r="H61" s="125">
        <f>I12*G61+G61</f>
        <v>574.2174747967479</v>
      </c>
      <c r="I61" s="88">
        <f t="shared" si="0"/>
        <v>463.3935021609755</v>
      </c>
      <c r="J61" s="136"/>
      <c r="K61" s="136"/>
      <c r="L61" s="135"/>
    </row>
    <row r="62" spans="1:12" s="5" customFormat="1" ht="12.75" hidden="1">
      <c r="A62" s="89" t="s">
        <v>184</v>
      </c>
      <c r="B62" s="90" t="s">
        <v>28</v>
      </c>
      <c r="C62" s="49" t="s">
        <v>140</v>
      </c>
      <c r="D62" s="50" t="s">
        <v>139</v>
      </c>
      <c r="E62" s="87">
        <f>'MEMÓRIA DE CALCULO'!E166</f>
        <v>56.489999999999995</v>
      </c>
      <c r="F62" s="86" t="s">
        <v>6</v>
      </c>
      <c r="G62" s="88">
        <f>16.09/1.23</f>
        <v>13.08130081300813</v>
      </c>
      <c r="H62" s="125">
        <f>I12*G62+G62</f>
        <v>15.742037398373984</v>
      </c>
      <c r="I62" s="88">
        <f t="shared" si="0"/>
        <v>889.2676926341463</v>
      </c>
      <c r="J62" s="136"/>
      <c r="K62" s="136"/>
      <c r="L62" s="135"/>
    </row>
    <row r="63" spans="1:12" s="5" customFormat="1" ht="12.75" hidden="1">
      <c r="A63" s="67" t="s">
        <v>146</v>
      </c>
      <c r="B63" s="68" t="s">
        <v>145</v>
      </c>
      <c r="C63" s="69"/>
      <c r="D63" s="70"/>
      <c r="E63" s="104"/>
      <c r="F63" s="71"/>
      <c r="G63" s="72"/>
      <c r="H63" s="72"/>
      <c r="I63" s="130">
        <f>SUM(I64:I67)</f>
        <v>2969.1394667447153</v>
      </c>
      <c r="J63" s="136"/>
      <c r="K63" s="136"/>
      <c r="L63" s="135"/>
    </row>
    <row r="64" spans="1:12" s="5" customFormat="1" ht="12.75" hidden="1">
      <c r="A64" s="89" t="s">
        <v>185</v>
      </c>
      <c r="B64" s="90" t="s">
        <v>28</v>
      </c>
      <c r="C64" s="49" t="s">
        <v>57</v>
      </c>
      <c r="D64" s="50" t="s">
        <v>56</v>
      </c>
      <c r="E64" s="87">
        <f>'MEMÓRIA DE CALCULO'!E172</f>
        <v>11.059999999999999</v>
      </c>
      <c r="F64" s="86" t="s">
        <v>8</v>
      </c>
      <c r="G64" s="88">
        <f>146.62/1.23</f>
        <v>119.20325203252033</v>
      </c>
      <c r="H64" s="125">
        <f>I12*G64+G64</f>
        <v>143.44919349593496</v>
      </c>
      <c r="I64" s="88">
        <f aca="true" t="shared" si="1" ref="I64:I66">E64*H64</f>
        <v>1586.5480800650405</v>
      </c>
      <c r="J64" s="136"/>
      <c r="K64" s="136"/>
      <c r="L64" s="135"/>
    </row>
    <row r="65" spans="1:12" s="5" customFormat="1" ht="12.75" hidden="1">
      <c r="A65" s="89" t="s">
        <v>186</v>
      </c>
      <c r="B65" s="90" t="s">
        <v>28</v>
      </c>
      <c r="C65" s="49" t="s">
        <v>144</v>
      </c>
      <c r="D65" s="50" t="s">
        <v>143</v>
      </c>
      <c r="E65" s="87">
        <f>'MEMÓRIA DE CALCULO'!J177</f>
        <v>0.474</v>
      </c>
      <c r="F65" s="86" t="s">
        <v>7</v>
      </c>
      <c r="G65" s="88">
        <f>586.91/1.23</f>
        <v>477.1626016260162</v>
      </c>
      <c r="H65" s="125">
        <f>I12*G65+G65</f>
        <v>574.2174747967479</v>
      </c>
      <c r="I65" s="88">
        <f t="shared" si="1"/>
        <v>272.1790830536585</v>
      </c>
      <c r="J65" s="136"/>
      <c r="K65" s="136"/>
      <c r="L65" s="135"/>
    </row>
    <row r="66" spans="1:12" s="5" customFormat="1" ht="12.75" hidden="1">
      <c r="A66" s="89" t="s">
        <v>187</v>
      </c>
      <c r="B66" s="90" t="s">
        <v>28</v>
      </c>
      <c r="C66" s="49" t="s">
        <v>140</v>
      </c>
      <c r="D66" s="50" t="s">
        <v>139</v>
      </c>
      <c r="E66" s="87">
        <f>'MEMÓRIA DE CALCULO'!E182</f>
        <v>42.66</v>
      </c>
      <c r="F66" s="86" t="s">
        <v>6</v>
      </c>
      <c r="G66" s="88">
        <f>16.09/1.23</f>
        <v>13.08130081300813</v>
      </c>
      <c r="H66" s="125">
        <f>I12*G66+G66</f>
        <v>15.742037398373984</v>
      </c>
      <c r="I66" s="88">
        <f t="shared" si="1"/>
        <v>671.5553154146342</v>
      </c>
      <c r="J66" s="136"/>
      <c r="K66" s="136"/>
      <c r="L66" s="135"/>
    </row>
    <row r="67" spans="1:12" s="5" customFormat="1" ht="25.5" hidden="1">
      <c r="A67" s="89" t="s">
        <v>199</v>
      </c>
      <c r="B67" s="90" t="s">
        <v>28</v>
      </c>
      <c r="C67" s="49" t="s">
        <v>201</v>
      </c>
      <c r="D67" s="54" t="s">
        <v>200</v>
      </c>
      <c r="E67" s="87">
        <f>'MEMÓRIA DE CALCULO'!E186</f>
        <v>13.45</v>
      </c>
      <c r="F67" s="86" t="s">
        <v>17</v>
      </c>
      <c r="G67" s="88">
        <f>33.35/1.23</f>
        <v>27.113821138211385</v>
      </c>
      <c r="H67" s="125">
        <f>I12*G67+G67</f>
        <v>32.628772357723584</v>
      </c>
      <c r="I67" s="88">
        <f>H67*E67</f>
        <v>438.8569882113822</v>
      </c>
      <c r="J67" s="136"/>
      <c r="K67" s="136"/>
      <c r="L67" s="135"/>
    </row>
    <row r="68" spans="1:12" s="5" customFormat="1" ht="12.75" hidden="1">
      <c r="A68" s="67" t="s">
        <v>155</v>
      </c>
      <c r="B68" s="68" t="s">
        <v>169</v>
      </c>
      <c r="C68" s="69"/>
      <c r="D68" s="70"/>
      <c r="E68" s="104"/>
      <c r="F68" s="71"/>
      <c r="G68" s="72"/>
      <c r="H68" s="72"/>
      <c r="I68" s="130">
        <f>SUM(I69:I72)</f>
        <v>5685.620231186993</v>
      </c>
      <c r="J68" s="136"/>
      <c r="K68" s="136"/>
      <c r="L68" s="135"/>
    </row>
    <row r="69" spans="1:12" s="5" customFormat="1" ht="12.75" hidden="1">
      <c r="A69" s="85" t="s">
        <v>188</v>
      </c>
      <c r="B69" s="86" t="s">
        <v>28</v>
      </c>
      <c r="C69" s="49" t="s">
        <v>148</v>
      </c>
      <c r="D69" s="50" t="s">
        <v>147</v>
      </c>
      <c r="E69" s="87">
        <f>'MEMÓRIA DE CALCULO'!G195</f>
        <v>26.020000000000003</v>
      </c>
      <c r="F69" s="86" t="s">
        <v>8</v>
      </c>
      <c r="G69" s="88">
        <f>80.59/1.23</f>
        <v>65.52032520325204</v>
      </c>
      <c r="H69" s="125">
        <f>I12*G69+G69</f>
        <v>78.84715934959351</v>
      </c>
      <c r="I69" s="88">
        <f>H69*E69</f>
        <v>2051.6030862764233</v>
      </c>
      <c r="J69" s="136"/>
      <c r="K69" s="136"/>
      <c r="L69" s="135"/>
    </row>
    <row r="70" spans="1:12" s="5" customFormat="1" ht="12.75" hidden="1">
      <c r="A70" s="85" t="s">
        <v>189</v>
      </c>
      <c r="B70" s="86" t="s">
        <v>28</v>
      </c>
      <c r="C70" s="49" t="s">
        <v>150</v>
      </c>
      <c r="D70" s="50" t="s">
        <v>149</v>
      </c>
      <c r="E70" s="87">
        <f>'MEMÓRIA DE CALCULO'!B197</f>
        <v>52.040000000000006</v>
      </c>
      <c r="F70" s="86" t="s">
        <v>8</v>
      </c>
      <c r="G70" s="88">
        <f>7.45/1.23</f>
        <v>6.056910569105692</v>
      </c>
      <c r="H70" s="125">
        <f>I12*G70+G70</f>
        <v>7.288886178861789</v>
      </c>
      <c r="I70" s="88">
        <f aca="true" t="shared" si="2" ref="I70:I72">H70*E70</f>
        <v>379.31363674796756</v>
      </c>
      <c r="J70" s="136"/>
      <c r="K70" s="136"/>
      <c r="L70" s="135"/>
    </row>
    <row r="71" spans="1:12" s="5" customFormat="1" ht="12.75" hidden="1">
      <c r="A71" s="85" t="s">
        <v>190</v>
      </c>
      <c r="B71" s="86" t="s">
        <v>28</v>
      </c>
      <c r="C71" s="49" t="s">
        <v>152</v>
      </c>
      <c r="D71" s="50" t="s">
        <v>151</v>
      </c>
      <c r="E71" s="87">
        <f>'MEMÓRIA DE CALCULO'!B200</f>
        <v>52.040000000000006</v>
      </c>
      <c r="F71" s="86" t="s">
        <v>8</v>
      </c>
      <c r="G71" s="88">
        <f>37.94/1.23</f>
        <v>30.84552845528455</v>
      </c>
      <c r="H71" s="125">
        <f>I12*G71+G71</f>
        <v>37.11950894308943</v>
      </c>
      <c r="I71" s="88">
        <f t="shared" si="2"/>
        <v>1931.6992453983742</v>
      </c>
      <c r="J71" s="136"/>
      <c r="K71" s="136"/>
      <c r="L71" s="135"/>
    </row>
    <row r="72" spans="1:12" s="5" customFormat="1" ht="12.75" hidden="1">
      <c r="A72" s="85" t="s">
        <v>191</v>
      </c>
      <c r="B72" s="86" t="s">
        <v>28</v>
      </c>
      <c r="C72" s="49" t="s">
        <v>154</v>
      </c>
      <c r="D72" s="50" t="s">
        <v>153</v>
      </c>
      <c r="E72" s="87">
        <f>'MEMÓRIA DE CALCULO'!B203</f>
        <v>48.800000000000004</v>
      </c>
      <c r="F72" s="86" t="s">
        <v>8</v>
      </c>
      <c r="G72" s="88">
        <f>27.71/1.23</f>
        <v>22.528455284552848</v>
      </c>
      <c r="H72" s="125">
        <f>I12*G72+G72</f>
        <v>27.110743089430898</v>
      </c>
      <c r="I72" s="88">
        <f t="shared" si="2"/>
        <v>1323.0042627642279</v>
      </c>
      <c r="J72" s="136"/>
      <c r="K72" s="136"/>
      <c r="L72" s="135"/>
    </row>
    <row r="73" spans="1:12" s="5" customFormat="1" ht="25.5" hidden="1">
      <c r="A73" s="85" t="s">
        <v>192</v>
      </c>
      <c r="B73" s="86" t="s">
        <v>28</v>
      </c>
      <c r="C73" s="49" t="s">
        <v>171</v>
      </c>
      <c r="D73" s="54" t="s">
        <v>170</v>
      </c>
      <c r="E73" s="87">
        <f>'MEMÓRIA DE CALCULO'!E206</f>
        <v>3.24</v>
      </c>
      <c r="F73" s="86" t="s">
        <v>8</v>
      </c>
      <c r="G73" s="88">
        <f>122.72/1.23</f>
        <v>99.77235772357723</v>
      </c>
      <c r="H73" s="125">
        <f>I12*G73+G73</f>
        <v>120.06605528455285</v>
      </c>
      <c r="I73" s="88">
        <f>H73*E73</f>
        <v>389.01401912195126</v>
      </c>
      <c r="J73" s="136"/>
      <c r="K73" s="136"/>
      <c r="L73" s="135"/>
    </row>
    <row r="74" spans="1:12" s="5" customFormat="1" ht="12.75" hidden="1">
      <c r="A74" s="67" t="s">
        <v>163</v>
      </c>
      <c r="B74" s="68" t="s">
        <v>156</v>
      </c>
      <c r="C74" s="69"/>
      <c r="D74" s="70"/>
      <c r="E74" s="104"/>
      <c r="F74" s="71"/>
      <c r="G74" s="72"/>
      <c r="H74" s="72"/>
      <c r="I74" s="130">
        <f>SUM(I75:I78)</f>
        <v>5981.059627382114</v>
      </c>
      <c r="J74" s="136"/>
      <c r="K74" s="136"/>
      <c r="L74" s="135"/>
    </row>
    <row r="75" spans="1:12" s="5" customFormat="1" ht="25.5" hidden="1">
      <c r="A75" s="89" t="s">
        <v>193</v>
      </c>
      <c r="B75" s="86" t="s">
        <v>28</v>
      </c>
      <c r="C75" s="49" t="s">
        <v>158</v>
      </c>
      <c r="D75" s="58" t="s">
        <v>157</v>
      </c>
      <c r="E75" s="91">
        <v>1</v>
      </c>
      <c r="F75" s="90" t="s">
        <v>4</v>
      </c>
      <c r="G75" s="92">
        <f>1310.81/1.23</f>
        <v>1065.69918699187</v>
      </c>
      <c r="H75" s="126">
        <f>I12*G75+G75</f>
        <v>1282.4624016260163</v>
      </c>
      <c r="I75" s="88">
        <f>H75*E75</f>
        <v>1282.4624016260163</v>
      </c>
      <c r="J75" s="136"/>
      <c r="K75" s="136"/>
      <c r="L75" s="135"/>
    </row>
    <row r="76" spans="1:12" s="5" customFormat="1" ht="51" hidden="1">
      <c r="A76" s="89" t="s">
        <v>211</v>
      </c>
      <c r="B76" s="86" t="s">
        <v>79</v>
      </c>
      <c r="C76" s="49">
        <v>94559</v>
      </c>
      <c r="D76" s="58" t="s">
        <v>159</v>
      </c>
      <c r="E76" s="91">
        <f>2*0.6</f>
        <v>1.2</v>
      </c>
      <c r="F76" s="90" t="s">
        <v>8</v>
      </c>
      <c r="G76" s="92">
        <v>823.95</v>
      </c>
      <c r="H76" s="126">
        <f>I12*G76+G76</f>
        <v>991.54143</v>
      </c>
      <c r="I76" s="88">
        <f aca="true" t="shared" si="3" ref="I76:I78">H76*E76</f>
        <v>1189.849716</v>
      </c>
      <c r="J76" s="136"/>
      <c r="K76" s="136"/>
      <c r="L76" s="135"/>
    </row>
    <row r="77" spans="1:12" s="5" customFormat="1" ht="51" hidden="1">
      <c r="A77" s="89" t="s">
        <v>213</v>
      </c>
      <c r="B77" s="86" t="s">
        <v>79</v>
      </c>
      <c r="C77" s="49">
        <v>94562</v>
      </c>
      <c r="D77" s="58" t="s">
        <v>160</v>
      </c>
      <c r="E77" s="91">
        <f>2*1.5</f>
        <v>3</v>
      </c>
      <c r="F77" s="90" t="s">
        <v>8</v>
      </c>
      <c r="G77" s="92">
        <v>788.1</v>
      </c>
      <c r="H77" s="126">
        <f>I12*G77+G77</f>
        <v>948.39954</v>
      </c>
      <c r="I77" s="88">
        <f t="shared" si="3"/>
        <v>2845.19862</v>
      </c>
      <c r="J77" s="136"/>
      <c r="K77" s="136"/>
      <c r="L77" s="135"/>
    </row>
    <row r="78" spans="1:12" s="5" customFormat="1" ht="12.75" hidden="1">
      <c r="A78" s="89" t="s">
        <v>212</v>
      </c>
      <c r="B78" s="90" t="s">
        <v>28</v>
      </c>
      <c r="C78" s="51" t="s">
        <v>162</v>
      </c>
      <c r="D78" s="50" t="s">
        <v>161</v>
      </c>
      <c r="E78" s="91">
        <f>E77+E76</f>
        <v>4.2</v>
      </c>
      <c r="F78" s="90"/>
      <c r="G78" s="92">
        <f>161.48/1.23</f>
        <v>131.28455284552845</v>
      </c>
      <c r="H78" s="126">
        <f>I12*G78+G78</f>
        <v>157.98783089430893</v>
      </c>
      <c r="I78" s="88">
        <f t="shared" si="3"/>
        <v>663.5488897560975</v>
      </c>
      <c r="J78" s="136"/>
      <c r="K78" s="136"/>
      <c r="L78" s="135"/>
    </row>
    <row r="79" spans="1:12" s="5" customFormat="1" ht="12.75" hidden="1">
      <c r="A79" s="67" t="s">
        <v>168</v>
      </c>
      <c r="B79" s="68" t="s">
        <v>164</v>
      </c>
      <c r="C79" s="69"/>
      <c r="D79" s="70"/>
      <c r="E79" s="104"/>
      <c r="F79" s="71"/>
      <c r="G79" s="72"/>
      <c r="H79" s="72"/>
      <c r="I79" s="130">
        <f>SUM(I80:I84)</f>
        <v>2565.7935993495935</v>
      </c>
      <c r="J79" s="136"/>
      <c r="K79" s="136"/>
      <c r="L79" s="135"/>
    </row>
    <row r="80" spans="1:12" s="5" customFormat="1" ht="12.75" hidden="1">
      <c r="A80" s="89" t="s">
        <v>207</v>
      </c>
      <c r="B80" s="90" t="s">
        <v>28</v>
      </c>
      <c r="C80" s="49" t="s">
        <v>167</v>
      </c>
      <c r="D80" s="50" t="s">
        <v>166</v>
      </c>
      <c r="E80" s="91">
        <v>1</v>
      </c>
      <c r="F80" s="90" t="s">
        <v>117</v>
      </c>
      <c r="G80" s="92">
        <f>1191.06/1.23</f>
        <v>968.3414634146341</v>
      </c>
      <c r="H80" s="126">
        <f>I12*G80+G80</f>
        <v>1165.3021170731706</v>
      </c>
      <c r="I80" s="88">
        <f>H80*E80</f>
        <v>1165.3021170731706</v>
      </c>
      <c r="J80" s="136"/>
      <c r="K80" s="136"/>
      <c r="L80" s="135"/>
    </row>
    <row r="81" spans="1:12" s="5" customFormat="1" ht="25.5" hidden="1">
      <c r="A81" s="89" t="s">
        <v>208</v>
      </c>
      <c r="B81" s="90" t="s">
        <v>28</v>
      </c>
      <c r="C81" s="49" t="s">
        <v>288</v>
      </c>
      <c r="D81" s="54" t="s">
        <v>287</v>
      </c>
      <c r="E81" s="91">
        <v>1</v>
      </c>
      <c r="F81" s="90" t="s">
        <v>117</v>
      </c>
      <c r="G81" s="92">
        <f>85/1.23</f>
        <v>69.10569105691057</v>
      </c>
      <c r="H81" s="126">
        <f>I12*G81+G81</f>
        <v>83.16178861788619</v>
      </c>
      <c r="I81" s="88">
        <f>H81*E81</f>
        <v>83.16178861788619</v>
      </c>
      <c r="J81" s="136"/>
      <c r="K81" s="136"/>
      <c r="L81" s="135"/>
    </row>
    <row r="82" spans="1:12" s="5" customFormat="1" ht="25.5" hidden="1">
      <c r="A82" s="89" t="s">
        <v>209</v>
      </c>
      <c r="B82" s="90" t="s">
        <v>28</v>
      </c>
      <c r="C82" s="49" t="s">
        <v>290</v>
      </c>
      <c r="D82" s="54" t="s">
        <v>289</v>
      </c>
      <c r="E82" s="91">
        <v>6</v>
      </c>
      <c r="F82" s="90" t="s">
        <v>17</v>
      </c>
      <c r="G82" s="92">
        <f>59.25/1.23</f>
        <v>48.170731707317074</v>
      </c>
      <c r="H82" s="126">
        <f>I12*G82+G82</f>
        <v>57.968658536585366</v>
      </c>
      <c r="I82" s="88">
        <f>H82*E82</f>
        <v>347.8119512195122</v>
      </c>
      <c r="J82" s="136"/>
      <c r="K82" s="136"/>
      <c r="L82" s="135"/>
    </row>
    <row r="83" spans="1:12" s="5" customFormat="1" ht="25.5" hidden="1">
      <c r="A83" s="89" t="s">
        <v>210</v>
      </c>
      <c r="B83" s="90" t="s">
        <v>28</v>
      </c>
      <c r="C83" s="49" t="s">
        <v>292</v>
      </c>
      <c r="D83" s="54" t="s">
        <v>291</v>
      </c>
      <c r="E83" s="91">
        <v>12</v>
      </c>
      <c r="F83" s="90" t="s">
        <v>17</v>
      </c>
      <c r="G83" s="92">
        <f>79.83/1.23</f>
        <v>64.90243902439025</v>
      </c>
      <c r="H83" s="126">
        <f>I12*G83+G83</f>
        <v>78.10359512195123</v>
      </c>
      <c r="I83" s="88">
        <f>H83*E83</f>
        <v>937.2431414634148</v>
      </c>
      <c r="J83" s="136"/>
      <c r="K83" s="136"/>
      <c r="L83" s="135"/>
    </row>
    <row r="84" spans="1:12" s="5" customFormat="1" ht="12.75" hidden="1">
      <c r="A84" s="89" t="s">
        <v>293</v>
      </c>
      <c r="B84" s="75" t="s">
        <v>28</v>
      </c>
      <c r="C84" s="51" t="s">
        <v>38</v>
      </c>
      <c r="D84" s="50" t="s">
        <v>37</v>
      </c>
      <c r="E84" s="105">
        <f>0.2*0.2*10</f>
        <v>0.4000000000000001</v>
      </c>
      <c r="F84" s="76" t="s">
        <v>7</v>
      </c>
      <c r="G84" s="77">
        <f>82.47/1.23</f>
        <v>67.04878048780488</v>
      </c>
      <c r="H84" s="124">
        <f>G84*I12+G84</f>
        <v>80.6865024390244</v>
      </c>
      <c r="I84" s="77">
        <f>H84*E84</f>
        <v>32.274600975609765</v>
      </c>
      <c r="J84" s="136"/>
      <c r="K84" s="136"/>
      <c r="L84" s="135"/>
    </row>
    <row r="85" spans="1:12" s="5" customFormat="1" ht="12.75" hidden="1">
      <c r="A85" s="67" t="s">
        <v>202</v>
      </c>
      <c r="B85" s="68" t="s">
        <v>165</v>
      </c>
      <c r="C85" s="69"/>
      <c r="D85" s="70"/>
      <c r="E85" s="104"/>
      <c r="F85" s="71"/>
      <c r="G85" s="72"/>
      <c r="H85" s="72"/>
      <c r="I85" s="130">
        <f>SUM(I86:I90)</f>
        <v>1751.631861788618</v>
      </c>
      <c r="J85" s="136"/>
      <c r="K85" s="136"/>
      <c r="L85" s="135"/>
    </row>
    <row r="86" spans="1:12" s="5" customFormat="1" ht="25.5" hidden="1">
      <c r="A86" s="89" t="s">
        <v>203</v>
      </c>
      <c r="B86" s="86" t="s">
        <v>28</v>
      </c>
      <c r="C86" s="49" t="s">
        <v>277</v>
      </c>
      <c r="D86" s="54" t="s">
        <v>276</v>
      </c>
      <c r="E86" s="91">
        <v>1</v>
      </c>
      <c r="F86" s="90" t="s">
        <v>117</v>
      </c>
      <c r="G86" s="92">
        <f>237.4/1.23</f>
        <v>193.00813008130083</v>
      </c>
      <c r="H86" s="126">
        <f>G86*I12+G86</f>
        <v>232.26598373983742</v>
      </c>
      <c r="I86" s="88">
        <f>H86*E86</f>
        <v>232.26598373983742</v>
      </c>
      <c r="J86" s="136"/>
      <c r="K86" s="136"/>
      <c r="L86" s="135"/>
    </row>
    <row r="87" spans="1:12" s="5" customFormat="1" ht="25.5" hidden="1">
      <c r="A87" s="89" t="s">
        <v>204</v>
      </c>
      <c r="B87" s="86" t="s">
        <v>28</v>
      </c>
      <c r="C87" s="49" t="s">
        <v>279</v>
      </c>
      <c r="D87" s="54" t="s">
        <v>278</v>
      </c>
      <c r="E87" s="91">
        <v>2</v>
      </c>
      <c r="F87" s="90" t="s">
        <v>117</v>
      </c>
      <c r="G87" s="92">
        <f>254.7/1.23</f>
        <v>207.0731707317073</v>
      </c>
      <c r="H87" s="126">
        <f>I12*G87+G87</f>
        <v>249.19185365853656</v>
      </c>
      <c r="I87" s="88">
        <f aca="true" t="shared" si="4" ref="I87:I90">H87*E87</f>
        <v>498.3837073170731</v>
      </c>
      <c r="J87" s="136"/>
      <c r="K87" s="136"/>
      <c r="L87" s="135"/>
    </row>
    <row r="88" spans="1:12" s="5" customFormat="1" ht="12.75" hidden="1">
      <c r="A88" s="89" t="s">
        <v>205</v>
      </c>
      <c r="B88" s="86" t="s">
        <v>28</v>
      </c>
      <c r="C88" s="49" t="s">
        <v>281</v>
      </c>
      <c r="D88" s="54" t="s">
        <v>280</v>
      </c>
      <c r="E88" s="91">
        <v>30</v>
      </c>
      <c r="F88" s="90" t="s">
        <v>17</v>
      </c>
      <c r="G88" s="92">
        <f>10.01/1.23</f>
        <v>8.138211382113822</v>
      </c>
      <c r="H88" s="126">
        <f>I12*G88+G88</f>
        <v>9.793523577235772</v>
      </c>
      <c r="I88" s="88">
        <f t="shared" si="4"/>
        <v>293.8057073170732</v>
      </c>
      <c r="J88" s="136"/>
      <c r="K88" s="136"/>
      <c r="L88" s="135"/>
    </row>
    <row r="89" spans="1:12" s="5" customFormat="1" ht="12.75" hidden="1">
      <c r="A89" s="89" t="s">
        <v>206</v>
      </c>
      <c r="B89" s="86" t="s">
        <v>28</v>
      </c>
      <c r="C89" s="49" t="s">
        <v>284</v>
      </c>
      <c r="D89" s="54" t="s">
        <v>283</v>
      </c>
      <c r="E89" s="91">
        <v>30</v>
      </c>
      <c r="F89" s="90" t="s">
        <v>17</v>
      </c>
      <c r="G89" s="92">
        <f>7.09/1.23</f>
        <v>5.764227642276423</v>
      </c>
      <c r="H89" s="126">
        <f>G89*I12+G89</f>
        <v>6.9366715447154474</v>
      </c>
      <c r="I89" s="88">
        <f t="shared" si="4"/>
        <v>208.10014634146341</v>
      </c>
      <c r="J89" s="136"/>
      <c r="K89" s="136"/>
      <c r="L89" s="135"/>
    </row>
    <row r="90" spans="1:12" s="5" customFormat="1" ht="25.5" hidden="1">
      <c r="A90" s="89" t="s">
        <v>282</v>
      </c>
      <c r="B90" s="86" t="s">
        <v>28</v>
      </c>
      <c r="C90" s="49" t="s">
        <v>286</v>
      </c>
      <c r="D90" s="54" t="s">
        <v>285</v>
      </c>
      <c r="E90" s="91">
        <v>15</v>
      </c>
      <c r="F90" s="90" t="s">
        <v>17</v>
      </c>
      <c r="G90" s="92">
        <f>35.37/1.23</f>
        <v>28.756097560975608</v>
      </c>
      <c r="H90" s="126">
        <f>G90*I12+G90</f>
        <v>34.605087804878046</v>
      </c>
      <c r="I90" s="88">
        <f t="shared" si="4"/>
        <v>519.0763170731707</v>
      </c>
      <c r="J90" s="136"/>
      <c r="K90" s="136"/>
      <c r="L90" s="135"/>
    </row>
    <row r="91" spans="1:12" s="5" customFormat="1" ht="12.75" hidden="1">
      <c r="A91" s="67" t="s">
        <v>270</v>
      </c>
      <c r="B91" s="68" t="s">
        <v>102</v>
      </c>
      <c r="C91" s="69"/>
      <c r="D91" s="70"/>
      <c r="E91" s="104"/>
      <c r="F91" s="71"/>
      <c r="G91" s="72"/>
      <c r="H91" s="72"/>
      <c r="I91" s="130">
        <f>SUM(I92:I95)</f>
        <v>1567.3395586012791</v>
      </c>
      <c r="J91" s="136"/>
      <c r="K91" s="136"/>
      <c r="L91" s="135"/>
    </row>
    <row r="92" spans="1:12" s="5" customFormat="1" ht="12.75" hidden="1">
      <c r="A92" s="89" t="s">
        <v>271</v>
      </c>
      <c r="B92" s="90" t="s">
        <v>28</v>
      </c>
      <c r="C92" s="51" t="s">
        <v>195</v>
      </c>
      <c r="D92" s="50" t="s">
        <v>194</v>
      </c>
      <c r="E92" s="91">
        <f>'MEMÓRIA DE CALCULO'!J225</f>
        <v>5.0625</v>
      </c>
      <c r="F92" s="90" t="s">
        <v>8</v>
      </c>
      <c r="G92" s="92">
        <f>8.24/1.23</f>
        <v>6.699186991869919</v>
      </c>
      <c r="H92" s="126">
        <f>I12*G92+G92</f>
        <v>8.06180162601626</v>
      </c>
      <c r="I92" s="88">
        <f>H92*E92</f>
        <v>40.812870731707314</v>
      </c>
      <c r="J92" s="136"/>
      <c r="K92" s="136"/>
      <c r="L92" s="135"/>
    </row>
    <row r="93" spans="1:12" s="5" customFormat="1" ht="12.75" hidden="1">
      <c r="A93" s="89" t="s">
        <v>272</v>
      </c>
      <c r="B93" s="90" t="s">
        <v>28</v>
      </c>
      <c r="C93" s="51" t="s">
        <v>142</v>
      </c>
      <c r="D93" s="50" t="s">
        <v>54</v>
      </c>
      <c r="E93" s="91">
        <f>'MEMÓRIA DE CALCULO'!J225</f>
        <v>5.0625</v>
      </c>
      <c r="F93" s="90" t="s">
        <v>8</v>
      </c>
      <c r="G93" s="92">
        <f>9.73/1.23</f>
        <v>7.910569105691057</v>
      </c>
      <c r="H93" s="126">
        <f>I12*G93+G93</f>
        <v>9.519578861788618</v>
      </c>
      <c r="I93" s="88">
        <f>H93*E93</f>
        <v>48.19286798780488</v>
      </c>
      <c r="J93" s="136"/>
      <c r="K93" s="136"/>
      <c r="L93" s="135"/>
    </row>
    <row r="94" spans="1:12" s="5" customFormat="1" ht="12.75" hidden="1">
      <c r="A94" s="89" t="s">
        <v>273</v>
      </c>
      <c r="B94" s="90" t="s">
        <v>28</v>
      </c>
      <c r="C94" s="51" t="s">
        <v>197</v>
      </c>
      <c r="D94" s="50" t="s">
        <v>196</v>
      </c>
      <c r="E94" s="91">
        <f>'MEMÓRIA DE CALCULO'!J225</f>
        <v>5.0625</v>
      </c>
      <c r="F94" s="90" t="s">
        <v>8</v>
      </c>
      <c r="G94" s="92">
        <f>41.3/1.23</f>
        <v>33.577235772357724</v>
      </c>
      <c r="H94" s="126">
        <f>G94*I12*G94</f>
        <v>229.31941701368234</v>
      </c>
      <c r="I94" s="88">
        <f>H94*E94</f>
        <v>1160.929548631767</v>
      </c>
      <c r="J94" s="136"/>
      <c r="K94" s="136"/>
      <c r="L94" s="135"/>
    </row>
    <row r="95" spans="1:12" s="5" customFormat="1" ht="39.75" customHeight="1" hidden="1">
      <c r="A95" s="89" t="s">
        <v>274</v>
      </c>
      <c r="B95" s="90" t="s">
        <v>79</v>
      </c>
      <c r="C95" s="49">
        <v>87251</v>
      </c>
      <c r="D95" s="54" t="s">
        <v>105</v>
      </c>
      <c r="E95" s="91">
        <f>'MEMÓRIA DE CALCULO'!J225</f>
        <v>5.0625</v>
      </c>
      <c r="F95" s="90" t="s">
        <v>8</v>
      </c>
      <c r="G95" s="92">
        <v>52.1</v>
      </c>
      <c r="H95" s="126">
        <f>I12*G95+G95</f>
        <v>62.697140000000005</v>
      </c>
      <c r="I95" s="88">
        <f>H95*E95</f>
        <v>317.40427125</v>
      </c>
      <c r="J95" s="136"/>
      <c r="K95" s="136"/>
      <c r="L95" s="135"/>
    </row>
    <row r="96" spans="1:12" s="5" customFormat="1" ht="26.25" customHeight="1">
      <c r="A96" s="61">
        <v>8</v>
      </c>
      <c r="B96" s="62" t="s">
        <v>215</v>
      </c>
      <c r="C96" s="63"/>
      <c r="D96" s="64"/>
      <c r="E96" s="103"/>
      <c r="F96" s="64"/>
      <c r="G96" s="64"/>
      <c r="H96" s="64"/>
      <c r="I96" s="129">
        <f>I97+I102</f>
        <v>15282.784883666664</v>
      </c>
      <c r="J96" s="136"/>
      <c r="K96" s="136"/>
      <c r="L96" s="135">
        <f>I96</f>
        <v>15282.784883666664</v>
      </c>
    </row>
    <row r="97" spans="1:12" s="5" customFormat="1" ht="13.5" customHeight="1" hidden="1">
      <c r="A97" s="67" t="s">
        <v>217</v>
      </c>
      <c r="B97" s="68" t="s">
        <v>237</v>
      </c>
      <c r="C97" s="69"/>
      <c r="D97" s="70"/>
      <c r="E97" s="104"/>
      <c r="F97" s="71"/>
      <c r="G97" s="72"/>
      <c r="H97" s="72"/>
      <c r="I97" s="73">
        <f>SUM(I98:I101)</f>
        <v>6063.824440756096</v>
      </c>
      <c r="J97" s="139"/>
      <c r="K97" s="139"/>
      <c r="L97" s="140"/>
    </row>
    <row r="98" spans="1:12" s="5" customFormat="1" ht="12.75" hidden="1">
      <c r="A98" s="89" t="s">
        <v>219</v>
      </c>
      <c r="B98" s="90" t="s">
        <v>28</v>
      </c>
      <c r="C98" s="51" t="s">
        <v>216</v>
      </c>
      <c r="D98" s="50" t="s">
        <v>230</v>
      </c>
      <c r="E98" s="91">
        <f>'MEMÓRIA DE CALCULO'!D253</f>
        <v>63.01</v>
      </c>
      <c r="F98" s="90" t="s">
        <v>8</v>
      </c>
      <c r="G98" s="92">
        <f>36.01/1.23</f>
        <v>29.27642276422764</v>
      </c>
      <c r="H98" s="92">
        <f>I12*G98+G98</f>
        <v>35.23124715447154</v>
      </c>
      <c r="I98" s="92">
        <f>H98*E98</f>
        <v>2219.920883203252</v>
      </c>
      <c r="J98" s="139"/>
      <c r="K98" s="139"/>
      <c r="L98" s="140"/>
    </row>
    <row r="99" spans="1:12" s="5" customFormat="1" ht="12.75" hidden="1">
      <c r="A99" s="89" t="s">
        <v>232</v>
      </c>
      <c r="B99" s="90" t="s">
        <v>28</v>
      </c>
      <c r="C99" s="51" t="s">
        <v>216</v>
      </c>
      <c r="D99" s="53" t="s">
        <v>231</v>
      </c>
      <c r="E99" s="91">
        <f>'MEMÓRIA DE CALCULO'!C266</f>
        <v>97.895</v>
      </c>
      <c r="F99" s="90" t="s">
        <v>8</v>
      </c>
      <c r="G99" s="92">
        <f>36.01/1.23</f>
        <v>29.27642276422764</v>
      </c>
      <c r="H99" s="92">
        <f>I12*G99+G99</f>
        <v>35.23124715447154</v>
      </c>
      <c r="I99" s="92">
        <f>H99*E99</f>
        <v>3448.962940186991</v>
      </c>
      <c r="J99" s="139"/>
      <c r="K99" s="139"/>
      <c r="L99" s="140"/>
    </row>
    <row r="100" spans="1:12" s="5" customFormat="1" ht="12.75" hidden="1">
      <c r="A100" s="89" t="s">
        <v>249</v>
      </c>
      <c r="B100" s="90" t="s">
        <v>28</v>
      </c>
      <c r="C100" s="132" t="s">
        <v>242</v>
      </c>
      <c r="D100" s="50" t="s">
        <v>248</v>
      </c>
      <c r="E100" s="91">
        <f>'MEMÓRIA DE CALCULO'!K270</f>
        <v>8.4</v>
      </c>
      <c r="F100" s="90" t="s">
        <v>8</v>
      </c>
      <c r="G100" s="92">
        <f>34.76/1.23</f>
        <v>28.260162601626014</v>
      </c>
      <c r="H100" s="92">
        <f>I12*G100+G100</f>
        <v>34.008279674796746</v>
      </c>
      <c r="I100" s="92">
        <f>H100*E100</f>
        <v>285.66954926829266</v>
      </c>
      <c r="J100" s="139"/>
      <c r="K100" s="139"/>
      <c r="L100" s="140"/>
    </row>
    <row r="101" spans="1:12" s="5" customFormat="1" ht="12.75" hidden="1">
      <c r="A101" s="89" t="s">
        <v>250</v>
      </c>
      <c r="B101" s="90" t="s">
        <v>28</v>
      </c>
      <c r="C101" s="49" t="s">
        <v>244</v>
      </c>
      <c r="D101" s="50" t="s">
        <v>247</v>
      </c>
      <c r="E101" s="91">
        <f>'MEMÓRIA DE CALCULO'!H276</f>
        <v>3.3600000000000003</v>
      </c>
      <c r="F101" s="90" t="s">
        <v>8</v>
      </c>
      <c r="G101" s="92">
        <f>33.24/1.23</f>
        <v>27.02439024390244</v>
      </c>
      <c r="H101" s="92">
        <f>I12*G101+G101</f>
        <v>32.5211512195122</v>
      </c>
      <c r="I101" s="92">
        <f>H101*E101</f>
        <v>109.271068097561</v>
      </c>
      <c r="J101" s="139"/>
      <c r="K101" s="139"/>
      <c r="L101" s="140"/>
    </row>
    <row r="102" spans="1:12" s="5" customFormat="1" ht="12.75" hidden="1">
      <c r="A102" s="67" t="s">
        <v>245</v>
      </c>
      <c r="B102" s="68" t="s">
        <v>246</v>
      </c>
      <c r="C102" s="69"/>
      <c r="D102" s="70"/>
      <c r="E102" s="104"/>
      <c r="F102" s="71"/>
      <c r="G102" s="72"/>
      <c r="H102" s="72"/>
      <c r="I102" s="73">
        <f>SUM(I103:I104)</f>
        <v>9218.960442910568</v>
      </c>
      <c r="J102" s="139"/>
      <c r="K102" s="139"/>
      <c r="L102" s="140"/>
    </row>
    <row r="103" spans="1:12" s="5" customFormat="1" ht="12.75" hidden="1">
      <c r="A103" s="89" t="s">
        <v>251</v>
      </c>
      <c r="B103" s="90" t="s">
        <v>28</v>
      </c>
      <c r="C103" s="51" t="s">
        <v>216</v>
      </c>
      <c r="D103" s="50" t="s">
        <v>230</v>
      </c>
      <c r="E103" s="91">
        <f>'MEMÓRIA DE CALCULO'!C294</f>
        <v>141.445</v>
      </c>
      <c r="F103" s="90" t="s">
        <v>8</v>
      </c>
      <c r="G103" s="92">
        <f>36.01/1.23</f>
        <v>29.27642276422764</v>
      </c>
      <c r="H103" s="92">
        <f>I12*G103+G103</f>
        <v>35.23124715447154</v>
      </c>
      <c r="I103" s="92">
        <f>H103*E103</f>
        <v>4983.283753764226</v>
      </c>
      <c r="J103" s="139"/>
      <c r="K103" s="139"/>
      <c r="L103" s="140"/>
    </row>
    <row r="104" spans="1:12" s="5" customFormat="1" ht="12.75" hidden="1">
      <c r="A104" s="89" t="s">
        <v>263</v>
      </c>
      <c r="B104" s="90" t="s">
        <v>28</v>
      </c>
      <c r="C104" s="51" t="s">
        <v>216</v>
      </c>
      <c r="D104" s="53" t="s">
        <v>231</v>
      </c>
      <c r="E104" s="91">
        <f>'MEMÓRIA DE CALCULO'!C303</f>
        <v>120.22500000000001</v>
      </c>
      <c r="F104" s="90" t="s">
        <v>8</v>
      </c>
      <c r="G104" s="92">
        <f>36.01/1.23</f>
        <v>29.27642276422764</v>
      </c>
      <c r="H104" s="92">
        <f>I12*G104+G104</f>
        <v>35.23124715447154</v>
      </c>
      <c r="I104" s="92">
        <f>H104*E104</f>
        <v>4235.676689146341</v>
      </c>
      <c r="J104" s="139"/>
      <c r="K104" s="139"/>
      <c r="L104" s="140"/>
    </row>
    <row r="105" spans="1:12" s="21" customFormat="1" ht="12.75">
      <c r="A105" s="147" t="s">
        <v>5</v>
      </c>
      <c r="B105" s="147"/>
      <c r="C105" s="147"/>
      <c r="D105" s="147"/>
      <c r="E105" s="147"/>
      <c r="F105" s="147"/>
      <c r="G105" s="147"/>
      <c r="H105" s="147"/>
      <c r="I105" s="95">
        <f>I28+I26+I14+I41+I47+I50+I53+I96</f>
        <v>96719.57348262006</v>
      </c>
      <c r="J105" s="141">
        <f>SUM(J14:J96)</f>
        <v>33668.26763160935</v>
      </c>
      <c r="K105" s="142">
        <f>SUM(K14:K96)</f>
        <v>26112.962654945193</v>
      </c>
      <c r="L105" s="142">
        <f>SUM(L14:L96)</f>
        <v>36938.343196065514</v>
      </c>
    </row>
    <row r="107" spans="7:10" ht="12.75">
      <c r="G107" s="3"/>
      <c r="I107" s="23"/>
      <c r="J107" s="23"/>
    </row>
    <row r="108" ht="12.75">
      <c r="G108" s="3"/>
    </row>
    <row r="109" spans="7:12" ht="12.75">
      <c r="G109" s="150" t="s">
        <v>264</v>
      </c>
      <c r="H109" s="150"/>
      <c r="I109" s="150"/>
      <c r="J109" s="150"/>
      <c r="K109" s="150"/>
      <c r="L109" s="150"/>
    </row>
    <row r="112" spans="7:12" ht="12.75">
      <c r="G112" s="150" t="s">
        <v>265</v>
      </c>
      <c r="H112" s="150"/>
      <c r="I112" s="150"/>
      <c r="J112" s="150"/>
      <c r="K112" s="150"/>
      <c r="L112" s="150"/>
    </row>
    <row r="113" spans="7:12" ht="11.25" customHeight="1">
      <c r="G113" s="150" t="s">
        <v>266</v>
      </c>
      <c r="H113" s="150"/>
      <c r="I113" s="150"/>
      <c r="J113" s="150"/>
      <c r="K113" s="150"/>
      <c r="L113" s="150"/>
    </row>
    <row r="114" spans="7:12" ht="12.75" customHeight="1">
      <c r="G114" s="150" t="s">
        <v>267</v>
      </c>
      <c r="H114" s="150"/>
      <c r="I114" s="150"/>
      <c r="J114" s="150"/>
      <c r="K114" s="150"/>
      <c r="L114" s="150"/>
    </row>
    <row r="115" spans="7:12" ht="12.75" customHeight="1">
      <c r="G115" s="150" t="s">
        <v>268</v>
      </c>
      <c r="H115" s="150"/>
      <c r="I115" s="150"/>
      <c r="J115" s="150"/>
      <c r="K115" s="150"/>
      <c r="L115" s="150"/>
    </row>
    <row r="116" spans="8:10" ht="12.75">
      <c r="H116" s="148"/>
      <c r="I116" s="148"/>
      <c r="J116" s="111"/>
    </row>
    <row r="117" spans="8:10" ht="12.75">
      <c r="H117" s="1"/>
      <c r="I117" s="10"/>
      <c r="J117" s="10"/>
    </row>
    <row r="121" ht="12.75">
      <c r="L121" s="145"/>
    </row>
  </sheetData>
  <autoFilter ref="H1:H115"/>
  <mergeCells count="9">
    <mergeCell ref="A1:I6"/>
    <mergeCell ref="A105:H105"/>
    <mergeCell ref="H116:I116"/>
    <mergeCell ref="A8:L8"/>
    <mergeCell ref="G109:L109"/>
    <mergeCell ref="G112:L112"/>
    <mergeCell ref="G113:L113"/>
    <mergeCell ref="G114:L114"/>
    <mergeCell ref="G115:L115"/>
  </mergeCells>
  <printOptions/>
  <pageMargins left="0.3937007874015748" right="0.3937007874015748" top="0.35433070866141736" bottom="0.5905511811023623" header="0.11811023622047245" footer="0.11811023622047245"/>
  <pageSetup fitToHeight="2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7"/>
  <sheetViews>
    <sheetView showGridLines="0" zoomScale="130" zoomScaleNormal="130" workbookViewId="0" topLeftCell="A1">
      <selection activeCell="G9" sqref="G9"/>
    </sheetView>
  </sheetViews>
  <sheetFormatPr defaultColWidth="9.33203125" defaultRowHeight="12.75"/>
  <cols>
    <col min="1" max="1" width="7.83203125" style="1" customWidth="1"/>
    <col min="2" max="2" width="14.66015625" style="1" customWidth="1"/>
    <col min="3" max="3" width="12.5" style="1" customWidth="1"/>
    <col min="4" max="4" width="58.33203125" style="1" bestFit="1" customWidth="1"/>
    <col min="5" max="5" width="8.83203125" style="107" bestFit="1" customWidth="1"/>
    <col min="6" max="6" width="7.16015625" style="1" bestFit="1" customWidth="1"/>
    <col min="7" max="7" width="13.66015625" style="1" customWidth="1"/>
    <col min="8" max="8" width="15.16015625" style="2" customWidth="1"/>
    <col min="9" max="9" width="14.33203125" style="1" customWidth="1"/>
    <col min="10" max="10" width="17.16015625" style="1" customWidth="1"/>
    <col min="11" max="11" width="2.66015625" style="1" customWidth="1"/>
    <col min="12" max="16384" width="9.33203125" style="1" customWidth="1"/>
  </cols>
  <sheetData>
    <row r="1" spans="1:11" ht="12.75" customHeight="1">
      <c r="A1" s="146"/>
      <c r="B1" s="146"/>
      <c r="C1" s="146"/>
      <c r="D1" s="146"/>
      <c r="E1" s="146"/>
      <c r="F1" s="146"/>
      <c r="G1" s="146"/>
      <c r="H1" s="146"/>
      <c r="I1" s="146"/>
      <c r="J1" s="18"/>
      <c r="K1" s="7"/>
    </row>
    <row r="2" spans="1:11" ht="12.75" customHeight="1">
      <c r="A2" s="146"/>
      <c r="B2" s="146"/>
      <c r="C2" s="146"/>
      <c r="D2" s="146"/>
      <c r="E2" s="146"/>
      <c r="F2" s="146"/>
      <c r="G2" s="146"/>
      <c r="H2" s="146"/>
      <c r="I2" s="146"/>
      <c r="J2" s="18"/>
      <c r="K2" s="7"/>
    </row>
    <row r="3" spans="1:11" ht="12.75" customHeight="1">
      <c r="A3" s="146"/>
      <c r="B3" s="146"/>
      <c r="C3" s="146"/>
      <c r="D3" s="146"/>
      <c r="E3" s="146"/>
      <c r="F3" s="146"/>
      <c r="G3" s="146"/>
      <c r="H3" s="146"/>
      <c r="I3" s="146"/>
      <c r="J3" s="18"/>
      <c r="K3" s="7"/>
    </row>
    <row r="4" spans="1:11" ht="12.75" customHeight="1">
      <c r="A4" s="146"/>
      <c r="B4" s="146"/>
      <c r="C4" s="146"/>
      <c r="D4" s="146"/>
      <c r="E4" s="146"/>
      <c r="F4" s="146"/>
      <c r="G4" s="146"/>
      <c r="H4" s="146"/>
      <c r="I4" s="146"/>
      <c r="J4" s="18"/>
      <c r="K4" s="7"/>
    </row>
    <row r="5" spans="1:11" ht="12.75" customHeight="1">
      <c r="A5" s="146"/>
      <c r="B5" s="146"/>
      <c r="C5" s="146"/>
      <c r="D5" s="146"/>
      <c r="E5" s="146"/>
      <c r="F5" s="146"/>
      <c r="G5" s="146"/>
      <c r="H5" s="146"/>
      <c r="I5" s="146"/>
      <c r="J5" s="18"/>
      <c r="K5" s="7"/>
    </row>
    <row r="6" spans="1:11" ht="12.75" customHeight="1">
      <c r="A6" s="146"/>
      <c r="B6" s="146"/>
      <c r="C6" s="146"/>
      <c r="D6" s="146"/>
      <c r="E6" s="146"/>
      <c r="F6" s="146"/>
      <c r="G6" s="146"/>
      <c r="H6" s="146"/>
      <c r="I6" s="146"/>
      <c r="J6" s="18"/>
      <c r="K6" s="7"/>
    </row>
    <row r="7" spans="1:11" ht="12.75" customHeight="1">
      <c r="A7" s="9"/>
      <c r="B7" s="9"/>
      <c r="C7" s="9"/>
      <c r="D7" s="9"/>
      <c r="E7" s="100"/>
      <c r="F7" s="7"/>
      <c r="G7" s="7"/>
      <c r="H7" s="12"/>
      <c r="I7" s="7"/>
      <c r="J7" s="17"/>
      <c r="K7" s="7"/>
    </row>
    <row r="8" spans="1:11" ht="12.75" customHeight="1">
      <c r="A8" s="9" t="s">
        <v>0</v>
      </c>
      <c r="B8" s="9"/>
      <c r="C8" s="9"/>
      <c r="D8" s="39" t="s">
        <v>302</v>
      </c>
      <c r="E8" s="153"/>
      <c r="F8" s="7"/>
      <c r="G8" s="7"/>
      <c r="H8" s="12"/>
      <c r="I8" s="7"/>
      <c r="J8" s="17"/>
      <c r="K8" s="7"/>
    </row>
    <row r="9" spans="1:11" ht="12.75">
      <c r="A9" s="39" t="s">
        <v>1</v>
      </c>
      <c r="B9" s="13"/>
      <c r="C9" s="13"/>
      <c r="D9" s="13" t="s">
        <v>294</v>
      </c>
      <c r="E9" s="101"/>
      <c r="F9" s="16"/>
      <c r="G9" s="7"/>
      <c r="H9" s="12"/>
      <c r="I9" s="7"/>
      <c r="J9" s="17"/>
      <c r="K9" s="7"/>
    </row>
    <row r="10" spans="1:11" ht="12.75">
      <c r="A10" s="13" t="s">
        <v>20</v>
      </c>
      <c r="B10" s="13"/>
      <c r="C10" s="13"/>
      <c r="D10" s="22">
        <v>0.2034</v>
      </c>
      <c r="E10" s="101"/>
      <c r="F10" s="16"/>
      <c r="G10" s="7"/>
      <c r="H10" s="12"/>
      <c r="I10" s="7"/>
      <c r="J10" s="17"/>
      <c r="K10" s="7"/>
    </row>
    <row r="11" spans="1:11" ht="12.75">
      <c r="A11" s="31"/>
      <c r="B11" s="31"/>
      <c r="C11" s="31"/>
      <c r="D11" s="31"/>
      <c r="E11" s="100"/>
      <c r="F11" s="31"/>
      <c r="G11" s="31"/>
      <c r="H11" s="31" t="s">
        <v>27</v>
      </c>
      <c r="I11" s="32">
        <v>0.2034</v>
      </c>
      <c r="J11" s="17"/>
      <c r="K11" s="7"/>
    </row>
    <row r="12" spans="1:11" ht="27" customHeight="1">
      <c r="A12" s="59" t="s">
        <v>42</v>
      </c>
      <c r="B12" s="59" t="s">
        <v>41</v>
      </c>
      <c r="C12" s="59" t="s">
        <v>15</v>
      </c>
      <c r="D12" s="59" t="s">
        <v>43</v>
      </c>
      <c r="E12" s="102" t="s">
        <v>14</v>
      </c>
      <c r="F12" s="59" t="s">
        <v>4</v>
      </c>
      <c r="G12" s="59" t="s">
        <v>11</v>
      </c>
      <c r="H12" s="60" t="s">
        <v>13</v>
      </c>
      <c r="I12" s="59" t="s">
        <v>12</v>
      </c>
      <c r="J12" s="26"/>
      <c r="K12" s="8"/>
    </row>
    <row r="13" spans="1:11" ht="22.5" customHeight="1">
      <c r="A13" s="61">
        <v>1</v>
      </c>
      <c r="B13" s="62" t="s">
        <v>23</v>
      </c>
      <c r="C13" s="63"/>
      <c r="D13" s="64"/>
      <c r="E13" s="103"/>
      <c r="F13" s="64"/>
      <c r="G13" s="65"/>
      <c r="H13" s="65"/>
      <c r="I13" s="66">
        <f>I14+I17+I20</f>
        <v>29337.747302439027</v>
      </c>
      <c r="J13" s="123"/>
      <c r="K13" s="9"/>
    </row>
    <row r="14" spans="1:11" ht="12.75">
      <c r="A14" s="67" t="s">
        <v>2</v>
      </c>
      <c r="B14" s="68" t="s">
        <v>24</v>
      </c>
      <c r="C14" s="69"/>
      <c r="D14" s="70"/>
      <c r="E14" s="104"/>
      <c r="F14" s="71"/>
      <c r="G14" s="72"/>
      <c r="H14" s="72"/>
      <c r="I14" s="73">
        <f>I15+I16</f>
        <v>1339.4096377235774</v>
      </c>
      <c r="J14" s="13"/>
      <c r="K14" s="9"/>
    </row>
    <row r="15" spans="1:11" ht="12.75">
      <c r="A15" s="74" t="s">
        <v>29</v>
      </c>
      <c r="B15" s="75" t="s">
        <v>28</v>
      </c>
      <c r="C15" s="49" t="s">
        <v>26</v>
      </c>
      <c r="D15" s="50" t="s">
        <v>25</v>
      </c>
      <c r="E15" s="105">
        <f>'MEMÓRIA DE CALCULO'!H9</f>
        <v>0.8</v>
      </c>
      <c r="F15" s="76" t="s">
        <v>7</v>
      </c>
      <c r="G15" s="77">
        <f>226.81/1.23</f>
        <v>184.39837398373984</v>
      </c>
      <c r="H15" s="77">
        <f>I11*G15+G15</f>
        <v>221.90500325203254</v>
      </c>
      <c r="I15" s="77">
        <f>H15*E15</f>
        <v>177.52400260162605</v>
      </c>
      <c r="J15" s="13"/>
      <c r="K15" s="9"/>
    </row>
    <row r="16" spans="1:11" ht="12.75">
      <c r="A16" s="74" t="s">
        <v>40</v>
      </c>
      <c r="B16" s="75" t="s">
        <v>28</v>
      </c>
      <c r="C16" s="51" t="s">
        <v>38</v>
      </c>
      <c r="D16" s="50" t="s">
        <v>37</v>
      </c>
      <c r="E16" s="105">
        <f>'MEMÓRIA DE CALCULO'!G16</f>
        <v>14.4</v>
      </c>
      <c r="F16" s="76" t="s">
        <v>7</v>
      </c>
      <c r="G16" s="77">
        <f>82.47/1.23</f>
        <v>67.04878048780488</v>
      </c>
      <c r="H16" s="77">
        <f>I11*G16+G16</f>
        <v>80.6865024390244</v>
      </c>
      <c r="I16" s="77">
        <f>H16*E16</f>
        <v>1161.8856351219513</v>
      </c>
      <c r="J16" s="13"/>
      <c r="K16" s="9"/>
    </row>
    <row r="17" spans="1:11" ht="12.75">
      <c r="A17" s="78" t="s">
        <v>3</v>
      </c>
      <c r="B17" s="79" t="s">
        <v>44</v>
      </c>
      <c r="C17" s="80"/>
      <c r="D17" s="81"/>
      <c r="E17" s="106"/>
      <c r="F17" s="82"/>
      <c r="G17" s="83"/>
      <c r="H17" s="83"/>
      <c r="I17" s="84">
        <f>I18+I19</f>
        <v>26924.587871544718</v>
      </c>
      <c r="J17" s="13"/>
      <c r="K17" s="9"/>
    </row>
    <row r="18" spans="1:11" s="5" customFormat="1" ht="11.25" customHeight="1">
      <c r="A18" s="85" t="s">
        <v>45</v>
      </c>
      <c r="B18" s="86" t="s">
        <v>28</v>
      </c>
      <c r="C18" s="86" t="s">
        <v>9</v>
      </c>
      <c r="D18" s="85" t="s">
        <v>10</v>
      </c>
      <c r="E18" s="87">
        <v>1</v>
      </c>
      <c r="F18" s="86" t="s">
        <v>4</v>
      </c>
      <c r="G18" s="88">
        <f>2308.69/1.23</f>
        <v>1876.9837398373984</v>
      </c>
      <c r="H18" s="88">
        <f>I11*G18+G18</f>
        <v>2258.762232520325</v>
      </c>
      <c r="I18" s="88">
        <f>E18*H18</f>
        <v>2258.762232520325</v>
      </c>
      <c r="J18" s="24"/>
      <c r="K18" s="6"/>
    </row>
    <row r="19" spans="1:11" s="5" customFormat="1" ht="25.5">
      <c r="A19" s="85" t="s">
        <v>46</v>
      </c>
      <c r="B19" s="86" t="s">
        <v>28</v>
      </c>
      <c r="C19" s="86" t="s">
        <v>21</v>
      </c>
      <c r="D19" s="85" t="s">
        <v>22</v>
      </c>
      <c r="E19" s="87">
        <f>'MEMÓRIA DE CALCULO'!C25</f>
        <v>48</v>
      </c>
      <c r="F19" s="86" t="s">
        <v>17</v>
      </c>
      <c r="G19" s="88">
        <f>525.23/1.23</f>
        <v>427.01626016260167</v>
      </c>
      <c r="H19" s="88">
        <f>I11*G19+G19</f>
        <v>513.8713674796749</v>
      </c>
      <c r="I19" s="88">
        <f>E19*H19</f>
        <v>24665.82563902439</v>
      </c>
      <c r="J19" s="24"/>
      <c r="K19" s="4"/>
    </row>
    <row r="20" spans="1:11" s="5" customFormat="1" ht="12.75">
      <c r="A20" s="78" t="s">
        <v>47</v>
      </c>
      <c r="B20" s="79" t="s">
        <v>48</v>
      </c>
      <c r="C20" s="80"/>
      <c r="D20" s="81"/>
      <c r="E20" s="106"/>
      <c r="F20" s="82"/>
      <c r="G20" s="83"/>
      <c r="H20" s="83"/>
      <c r="I20" s="84">
        <f>I21+I22</f>
        <v>1073.7497931707317</v>
      </c>
      <c r="J20" s="24"/>
      <c r="K20" s="4"/>
    </row>
    <row r="21" spans="1:11" s="5" customFormat="1" ht="12.75">
      <c r="A21" s="85" t="s">
        <v>49</v>
      </c>
      <c r="B21" s="86" t="s">
        <v>28</v>
      </c>
      <c r="C21" s="51" t="s">
        <v>53</v>
      </c>
      <c r="D21" s="50" t="s">
        <v>52</v>
      </c>
      <c r="E21" s="87">
        <f>'MEMÓRIA DE CALCULO'!E31</f>
        <v>14.4</v>
      </c>
      <c r="F21" s="86" t="s">
        <v>7</v>
      </c>
      <c r="G21" s="88">
        <f>72.16/1.23</f>
        <v>58.666666666666664</v>
      </c>
      <c r="H21" s="88">
        <f>I11*G21+G21</f>
        <v>70.59946666666666</v>
      </c>
      <c r="I21" s="88">
        <f>H21*E21</f>
        <v>1016.6323199999999</v>
      </c>
      <c r="J21" s="24"/>
      <c r="K21" s="4"/>
    </row>
    <row r="22" spans="1:11" s="5" customFormat="1" ht="12.75">
      <c r="A22" s="85" t="s">
        <v>50</v>
      </c>
      <c r="B22" s="86" t="s">
        <v>28</v>
      </c>
      <c r="C22" s="51" t="s">
        <v>55</v>
      </c>
      <c r="D22" s="50" t="s">
        <v>54</v>
      </c>
      <c r="E22" s="87">
        <f>'MEMÓRIA DE CALCULO'!G36</f>
        <v>6</v>
      </c>
      <c r="F22" s="86" t="s">
        <v>8</v>
      </c>
      <c r="G22" s="88">
        <f>9.73/1.23</f>
        <v>7.910569105691057</v>
      </c>
      <c r="H22" s="88">
        <f>I11*G22+G22</f>
        <v>9.519578861788618</v>
      </c>
      <c r="I22" s="88">
        <f>H22*E22</f>
        <v>57.117473170731714</v>
      </c>
      <c r="J22" s="24"/>
      <c r="K22" s="4"/>
    </row>
    <row r="23" spans="1:11" s="5" customFormat="1" ht="12.75">
      <c r="A23" s="85" t="s">
        <v>51</v>
      </c>
      <c r="B23" s="86" t="s">
        <v>28</v>
      </c>
      <c r="C23" s="52" t="s">
        <v>57</v>
      </c>
      <c r="D23" s="53" t="s">
        <v>56</v>
      </c>
      <c r="E23" s="87">
        <f>'MEMÓRIA DE CALCULO'!G43</f>
        <v>1.44</v>
      </c>
      <c r="F23" s="86" t="s">
        <v>8</v>
      </c>
      <c r="G23" s="88">
        <f>146.62/1.23</f>
        <v>119.20325203252033</v>
      </c>
      <c r="H23" s="88">
        <f>I11*G23+G23</f>
        <v>143.44919349593496</v>
      </c>
      <c r="I23" s="88">
        <f>H23*E23</f>
        <v>206.56683863414634</v>
      </c>
      <c r="J23" s="24"/>
      <c r="K23" s="4"/>
    </row>
    <row r="24" spans="1:11" s="5" customFormat="1" ht="25.5">
      <c r="A24" s="85" t="s">
        <v>61</v>
      </c>
      <c r="B24" s="86" t="s">
        <v>28</v>
      </c>
      <c r="C24" s="49" t="s">
        <v>60</v>
      </c>
      <c r="D24" s="54" t="s">
        <v>59</v>
      </c>
      <c r="E24" s="87">
        <f>'MEMÓRIA DE CALCULO'!G51</f>
        <v>6</v>
      </c>
      <c r="F24" s="86" t="s">
        <v>8</v>
      </c>
      <c r="G24" s="88">
        <f>55.46/1.23</f>
        <v>45.08943089430895</v>
      </c>
      <c r="H24" s="88">
        <f>I11*G24+G24</f>
        <v>54.260621138211384</v>
      </c>
      <c r="I24" s="88">
        <f>H24*E24</f>
        <v>325.5637268292683</v>
      </c>
      <c r="J24" s="24"/>
      <c r="K24" s="4"/>
    </row>
    <row r="25" spans="1:11" ht="24" customHeight="1">
      <c r="A25" s="61">
        <v>2</v>
      </c>
      <c r="B25" s="62" t="s">
        <v>19</v>
      </c>
      <c r="C25" s="63"/>
      <c r="D25" s="64"/>
      <c r="E25" s="103"/>
      <c r="F25" s="64"/>
      <c r="G25" s="64"/>
      <c r="H25" s="64"/>
      <c r="I25" s="66">
        <f>I26</f>
        <v>316.60182113821133</v>
      </c>
      <c r="J25" s="27"/>
      <c r="K25" s="9"/>
    </row>
    <row r="26" spans="1:11" s="5" customFormat="1" ht="12.75">
      <c r="A26" s="89" t="s">
        <v>18</v>
      </c>
      <c r="B26" s="90" t="s">
        <v>28</v>
      </c>
      <c r="C26" s="90" t="s">
        <v>16</v>
      </c>
      <c r="D26" s="89" t="s">
        <v>19</v>
      </c>
      <c r="E26" s="91">
        <v>20</v>
      </c>
      <c r="F26" s="90" t="s">
        <v>17</v>
      </c>
      <c r="G26" s="92">
        <f>16.18/1.23</f>
        <v>13.154471544715447</v>
      </c>
      <c r="H26" s="92">
        <f>I11*G26+G26</f>
        <v>15.830091056910568</v>
      </c>
      <c r="I26" s="92">
        <f>E26*H26</f>
        <v>316.60182113821133</v>
      </c>
      <c r="J26" s="25"/>
      <c r="K26" s="4"/>
    </row>
    <row r="27" spans="1:11" s="5" customFormat="1" ht="26.25" customHeight="1">
      <c r="A27" s="61">
        <v>3</v>
      </c>
      <c r="B27" s="62" t="s">
        <v>62</v>
      </c>
      <c r="C27" s="63"/>
      <c r="D27" s="64"/>
      <c r="E27" s="103"/>
      <c r="F27" s="64"/>
      <c r="G27" s="64"/>
      <c r="H27" s="64"/>
      <c r="I27" s="66">
        <f>I28+I34</f>
        <v>4013.918508032114</v>
      </c>
      <c r="J27" s="25"/>
      <c r="K27" s="4"/>
    </row>
    <row r="28" spans="1:11" s="5" customFormat="1" ht="12.75" customHeight="1">
      <c r="A28" s="67" t="s">
        <v>76</v>
      </c>
      <c r="B28" s="68" t="s">
        <v>109</v>
      </c>
      <c r="C28" s="69"/>
      <c r="D28" s="70"/>
      <c r="E28" s="104"/>
      <c r="F28" s="71"/>
      <c r="G28" s="72"/>
      <c r="H28" s="72"/>
      <c r="I28" s="73">
        <f>SUM(I29:I33)</f>
        <v>3681.6576963252032</v>
      </c>
      <c r="J28" s="25"/>
      <c r="K28" s="4"/>
    </row>
    <row r="29" spans="1:11" s="5" customFormat="1" ht="25.5">
      <c r="A29" s="89" t="s">
        <v>111</v>
      </c>
      <c r="B29" s="90" t="s">
        <v>28</v>
      </c>
      <c r="C29" s="49" t="s">
        <v>65</v>
      </c>
      <c r="D29" s="54" t="s">
        <v>66</v>
      </c>
      <c r="E29" s="91">
        <f>'MEMÓRIA DE CALCULO'!H59</f>
        <v>33.66</v>
      </c>
      <c r="F29" s="90" t="s">
        <v>8</v>
      </c>
      <c r="G29" s="92">
        <f>17.36/1.23</f>
        <v>14.113821138211382</v>
      </c>
      <c r="H29" s="92">
        <f>I11*G29+G29</f>
        <v>16.984572357723575</v>
      </c>
      <c r="I29" s="92">
        <f>H29*E29</f>
        <v>571.7007055609755</v>
      </c>
      <c r="J29" s="25"/>
      <c r="K29" s="4"/>
    </row>
    <row r="30" spans="1:11" s="5" customFormat="1" ht="25.5">
      <c r="A30" s="89" t="s">
        <v>112</v>
      </c>
      <c r="B30" s="90" t="s">
        <v>28</v>
      </c>
      <c r="C30" s="49" t="s">
        <v>72</v>
      </c>
      <c r="D30" s="55" t="s">
        <v>71</v>
      </c>
      <c r="E30" s="91">
        <f>'MEMÓRIA DE CALCULO'!H63</f>
        <v>3.12</v>
      </c>
      <c r="F30" s="90" t="s">
        <v>8</v>
      </c>
      <c r="G30" s="92">
        <f>37.11/1.23</f>
        <v>30.170731707317074</v>
      </c>
      <c r="H30" s="92">
        <f>I11*G30+G30</f>
        <v>36.307458536585365</v>
      </c>
      <c r="I30" s="92">
        <f>H30*E30</f>
        <v>113.27927063414634</v>
      </c>
      <c r="J30" s="25"/>
      <c r="K30" s="4"/>
    </row>
    <row r="31" spans="1:11" s="5" customFormat="1" ht="12.75">
      <c r="A31" s="89" t="s">
        <v>113</v>
      </c>
      <c r="B31" s="90" t="s">
        <v>28</v>
      </c>
      <c r="C31" s="49" t="s">
        <v>64</v>
      </c>
      <c r="D31" s="50" t="s">
        <v>63</v>
      </c>
      <c r="E31" s="91">
        <f>'MEMÓRIA DE CALCULO'!H66</f>
        <v>33.66</v>
      </c>
      <c r="F31" s="90" t="s">
        <v>8</v>
      </c>
      <c r="G31" s="92">
        <f>12.89/1.23</f>
        <v>10.479674796747968</v>
      </c>
      <c r="H31" s="92">
        <f>I11*G31+G31</f>
        <v>12.611240650406504</v>
      </c>
      <c r="I31" s="92">
        <f>H31*E31</f>
        <v>424.49436029268287</v>
      </c>
      <c r="J31" s="25"/>
      <c r="K31" s="4"/>
    </row>
    <row r="32" spans="1:11" s="5" customFormat="1" ht="25.5">
      <c r="A32" s="89" t="s">
        <v>114</v>
      </c>
      <c r="B32" s="90" t="s">
        <v>28</v>
      </c>
      <c r="C32" s="49" t="s">
        <v>68</v>
      </c>
      <c r="D32" s="54" t="s">
        <v>67</v>
      </c>
      <c r="E32" s="91">
        <f>'MEMÓRIA DE CALCULO'!C71</f>
        <v>57.34</v>
      </c>
      <c r="F32" s="90" t="s">
        <v>8</v>
      </c>
      <c r="G32" s="92">
        <f>39.14/1.23</f>
        <v>31.821138211382113</v>
      </c>
      <c r="H32" s="92">
        <f>I11*G32+G32</f>
        <v>38.29355772357724</v>
      </c>
      <c r="I32" s="92">
        <f>H32*E32</f>
        <v>2195.752599869919</v>
      </c>
      <c r="J32" s="25"/>
      <c r="K32" s="4"/>
    </row>
    <row r="33" spans="1:11" s="5" customFormat="1" ht="12.75">
      <c r="A33" s="89" t="s">
        <v>115</v>
      </c>
      <c r="B33" s="90" t="s">
        <v>28</v>
      </c>
      <c r="C33" s="49" t="s">
        <v>70</v>
      </c>
      <c r="D33" s="50" t="s">
        <v>69</v>
      </c>
      <c r="E33" s="91">
        <f>'MEMÓRIA DE CALCULO'!C74</f>
        <v>57.34</v>
      </c>
      <c r="F33" s="90" t="s">
        <v>8</v>
      </c>
      <c r="G33" s="92">
        <f>6.71/1.23</f>
        <v>5.455284552845528</v>
      </c>
      <c r="H33" s="92">
        <f>I11*G33+G33</f>
        <v>6.564889430894309</v>
      </c>
      <c r="I33" s="92">
        <f>H33*E33</f>
        <v>376.4307599674797</v>
      </c>
      <c r="J33" s="25"/>
      <c r="K33" s="4"/>
    </row>
    <row r="34" spans="1:11" s="5" customFormat="1" ht="12.75">
      <c r="A34" s="67" t="s">
        <v>77</v>
      </c>
      <c r="B34" s="68" t="s">
        <v>110</v>
      </c>
      <c r="C34" s="69"/>
      <c r="D34" s="70"/>
      <c r="E34" s="104"/>
      <c r="F34" s="71"/>
      <c r="G34" s="72"/>
      <c r="H34" s="72"/>
      <c r="I34" s="73">
        <f>SUM(I35:I39)</f>
        <v>332.2608117069106</v>
      </c>
      <c r="J34" s="25"/>
      <c r="K34" s="4"/>
    </row>
    <row r="35" spans="1:11" s="5" customFormat="1" ht="25.5">
      <c r="A35" s="109" t="s">
        <v>121</v>
      </c>
      <c r="B35" s="99" t="s">
        <v>28</v>
      </c>
      <c r="C35" s="33" t="s">
        <v>116</v>
      </c>
      <c r="D35" s="96" t="s">
        <v>118</v>
      </c>
      <c r="E35" s="87">
        <v>1</v>
      </c>
      <c r="F35" s="97" t="s">
        <v>117</v>
      </c>
      <c r="G35" s="98">
        <f>50.47/1.23</f>
        <v>41.03252032520325</v>
      </c>
      <c r="H35" s="98">
        <f>I11*G35+G35</f>
        <v>49.378534959349594</v>
      </c>
      <c r="I35" s="98">
        <f>H35*E35</f>
        <v>49.378534959349594</v>
      </c>
      <c r="J35" s="25"/>
      <c r="K35" s="4"/>
    </row>
    <row r="36" spans="1:11" s="5" customFormat="1" ht="25.5">
      <c r="A36" s="74" t="s">
        <v>122</v>
      </c>
      <c r="B36" s="90" t="s">
        <v>28</v>
      </c>
      <c r="C36" s="49" t="s">
        <v>86</v>
      </c>
      <c r="D36" s="58" t="s">
        <v>85</v>
      </c>
      <c r="E36" s="91">
        <f>'MEMÓRIA DE CALCULO'!J84</f>
        <v>1.1985000000000001</v>
      </c>
      <c r="F36" s="90" t="s">
        <v>7</v>
      </c>
      <c r="G36" s="92">
        <f>95.58/1.23</f>
        <v>77.70731707317073</v>
      </c>
      <c r="H36" s="92">
        <f>I11*G36+G36</f>
        <v>93.51298536585365</v>
      </c>
      <c r="I36" s="92">
        <f>H36*E36</f>
        <v>112.07531296097561</v>
      </c>
      <c r="J36" s="25"/>
      <c r="K36" s="4"/>
    </row>
    <row r="37" spans="1:11" s="5" customFormat="1" ht="12.75">
      <c r="A37" s="74" t="s">
        <v>123</v>
      </c>
      <c r="B37" s="75" t="s">
        <v>28</v>
      </c>
      <c r="C37" s="49" t="s">
        <v>26</v>
      </c>
      <c r="D37" s="50" t="s">
        <v>25</v>
      </c>
      <c r="E37" s="105">
        <f>'MEMÓRIA DE CALCULO'!I87</f>
        <v>0.43875000000000003</v>
      </c>
      <c r="F37" s="76" t="s">
        <v>7</v>
      </c>
      <c r="G37" s="77">
        <f>226.81/1.23</f>
        <v>184.39837398373984</v>
      </c>
      <c r="H37" s="77">
        <f>I11*G37+G37</f>
        <v>221.90500325203254</v>
      </c>
      <c r="I37" s="77">
        <f>H37*E37</f>
        <v>97.36082017682928</v>
      </c>
      <c r="J37" s="25"/>
      <c r="K37" s="4"/>
    </row>
    <row r="38" spans="1:11" s="5" customFormat="1" ht="25.5">
      <c r="A38" s="74" t="s">
        <v>129</v>
      </c>
      <c r="B38" s="86" t="s">
        <v>28</v>
      </c>
      <c r="C38" s="44" t="s">
        <v>125</v>
      </c>
      <c r="D38" s="45" t="s">
        <v>124</v>
      </c>
      <c r="E38" s="91">
        <f>'MEMÓRIA DE CALCULO'!F92</f>
        <v>3.2175</v>
      </c>
      <c r="F38" s="90" t="s">
        <v>8</v>
      </c>
      <c r="G38" s="92">
        <f>8.32/1.23</f>
        <v>6.764227642276423</v>
      </c>
      <c r="H38" s="92">
        <f>I11*G38+G38</f>
        <v>8.140071544715447</v>
      </c>
      <c r="I38" s="92">
        <f>H38*E38</f>
        <v>26.19068019512195</v>
      </c>
      <c r="J38" s="25"/>
      <c r="K38" s="4"/>
    </row>
    <row r="39" spans="1:11" s="5" customFormat="1" ht="25.5">
      <c r="A39" s="74" t="s">
        <v>130</v>
      </c>
      <c r="B39" s="99" t="s">
        <v>28</v>
      </c>
      <c r="C39" s="44" t="s">
        <v>127</v>
      </c>
      <c r="D39" s="48" t="s">
        <v>126</v>
      </c>
      <c r="E39" s="87">
        <f>'MEMÓRIA DE CALCULO'!H96</f>
        <v>10.5</v>
      </c>
      <c r="F39" s="86" t="s">
        <v>17</v>
      </c>
      <c r="G39" s="108">
        <f>4.6/1.23</f>
        <v>3.7398373983739837</v>
      </c>
      <c r="H39" s="108">
        <f>G39*I11+G39</f>
        <v>4.500520325203252</v>
      </c>
      <c r="I39" s="108">
        <f>H39*E39</f>
        <v>47.25546341463414</v>
      </c>
      <c r="J39" s="25"/>
      <c r="K39" s="4"/>
    </row>
    <row r="40" spans="1:11" s="5" customFormat="1" ht="24" customHeight="1">
      <c r="A40" s="61">
        <v>4</v>
      </c>
      <c r="B40" s="62" t="s">
        <v>133</v>
      </c>
      <c r="C40" s="63"/>
      <c r="D40" s="64"/>
      <c r="E40" s="103"/>
      <c r="F40" s="64"/>
      <c r="G40" s="64"/>
      <c r="H40" s="64"/>
      <c r="I40" s="66">
        <f>SUM(I41:I45)</f>
        <v>15505.577775006177</v>
      </c>
      <c r="J40" s="25"/>
      <c r="K40" s="4"/>
    </row>
    <row r="41" spans="1:11" s="5" customFormat="1" ht="51">
      <c r="A41" s="89" t="s">
        <v>81</v>
      </c>
      <c r="B41" s="49" t="s">
        <v>79</v>
      </c>
      <c r="C41" s="49">
        <v>92580</v>
      </c>
      <c r="D41" s="56" t="s">
        <v>78</v>
      </c>
      <c r="E41" s="91">
        <f>'MEMÓRIA DE CALCULO'!L103</f>
        <v>60.52</v>
      </c>
      <c r="F41" s="90" t="s">
        <v>8</v>
      </c>
      <c r="G41" s="92">
        <v>57.24</v>
      </c>
      <c r="H41" s="92">
        <f>I11*G41+G41</f>
        <v>68.882616</v>
      </c>
      <c r="I41" s="92">
        <f>H41*E41</f>
        <v>4168.77592032</v>
      </c>
      <c r="J41" s="25"/>
      <c r="K41" s="4"/>
    </row>
    <row r="42" spans="1:11" s="5" customFormat="1" ht="25.5">
      <c r="A42" s="89" t="s">
        <v>84</v>
      </c>
      <c r="B42" s="90" t="s">
        <v>28</v>
      </c>
      <c r="C42" s="49" t="s">
        <v>83</v>
      </c>
      <c r="D42" s="55" t="s">
        <v>82</v>
      </c>
      <c r="E42" s="91">
        <f>'MEMÓRIA DE CALCULO'!M107</f>
        <v>60.52</v>
      </c>
      <c r="F42" s="90" t="s">
        <v>8</v>
      </c>
      <c r="G42" s="92">
        <f>143.13/1.23</f>
        <v>116.36585365853658</v>
      </c>
      <c r="H42" s="92">
        <f>I11*G42+G42</f>
        <v>140.0346682926829</v>
      </c>
      <c r="I42" s="92">
        <f>H42*E42</f>
        <v>8474.89812507317</v>
      </c>
      <c r="J42" s="25"/>
      <c r="K42" s="4"/>
    </row>
    <row r="43" spans="1:11" s="5" customFormat="1" ht="12.75">
      <c r="A43" s="89" t="s">
        <v>92</v>
      </c>
      <c r="B43" s="90" t="s">
        <v>28</v>
      </c>
      <c r="C43" s="57" t="s">
        <v>90</v>
      </c>
      <c r="D43" s="50" t="s">
        <v>89</v>
      </c>
      <c r="E43" s="91">
        <f>'MEMÓRIA DE CALCULO'!M110</f>
        <v>13.45</v>
      </c>
      <c r="F43" s="90" t="s">
        <v>17</v>
      </c>
      <c r="G43" s="92">
        <f>66.58/1.23</f>
        <v>54.13008130081301</v>
      </c>
      <c r="H43" s="92">
        <f>I11*G43+G43</f>
        <v>65.14013983739838</v>
      </c>
      <c r="I43" s="92">
        <f>H43*E43</f>
        <v>876.1348808130082</v>
      </c>
      <c r="J43" s="25"/>
      <c r="K43" s="4"/>
    </row>
    <row r="44" spans="1:11" s="5" customFormat="1" ht="25.5">
      <c r="A44" s="89" t="s">
        <v>93</v>
      </c>
      <c r="B44" s="90" t="s">
        <v>28</v>
      </c>
      <c r="C44" s="49" t="s">
        <v>86</v>
      </c>
      <c r="D44" s="58" t="s">
        <v>85</v>
      </c>
      <c r="E44" s="91">
        <f>'MEMÓRIA DE CALCULO'!K114</f>
        <v>0.37200000000000005</v>
      </c>
      <c r="F44" s="90" t="s">
        <v>7</v>
      </c>
      <c r="G44" s="92">
        <f>95.58/1.23</f>
        <v>77.70731707317073</v>
      </c>
      <c r="H44" s="92">
        <f>I11*G44+G44</f>
        <v>93.51298536585365</v>
      </c>
      <c r="I44" s="92">
        <f>H44*E44</f>
        <v>34.78683055609756</v>
      </c>
      <c r="J44" s="25"/>
      <c r="K44" s="4"/>
    </row>
    <row r="45" spans="1:11" s="5" customFormat="1" ht="12.75">
      <c r="A45" s="89" t="s">
        <v>101</v>
      </c>
      <c r="B45" s="90" t="s">
        <v>28</v>
      </c>
      <c r="C45" s="36" t="s">
        <v>100</v>
      </c>
      <c r="D45" s="42" t="s">
        <v>99</v>
      </c>
      <c r="E45" s="91">
        <f>'MEMÓRIA DE CALCULO'!Q117</f>
        <v>39.285</v>
      </c>
      <c r="F45" s="90" t="s">
        <v>8</v>
      </c>
      <c r="G45" s="92">
        <f>50.76/1.23</f>
        <v>41.26829268292683</v>
      </c>
      <c r="H45" s="92">
        <f>I11*G45+G45</f>
        <v>49.66226341463414</v>
      </c>
      <c r="I45" s="92">
        <f>H45*E45</f>
        <v>1950.982018243902</v>
      </c>
      <c r="J45" s="25"/>
      <c r="K45" s="4"/>
    </row>
    <row r="46" spans="1:11" s="5" customFormat="1" ht="24" customHeight="1">
      <c r="A46" s="61">
        <v>5</v>
      </c>
      <c r="B46" s="62" t="s">
        <v>91</v>
      </c>
      <c r="C46" s="63"/>
      <c r="D46" s="64"/>
      <c r="E46" s="103"/>
      <c r="F46" s="64"/>
      <c r="G46" s="64"/>
      <c r="H46" s="64"/>
      <c r="I46" s="66">
        <f>SUM(I47:I48)</f>
        <v>1237.8665500487805</v>
      </c>
      <c r="J46" s="25"/>
      <c r="K46" s="4"/>
    </row>
    <row r="47" spans="1:11" s="5" customFormat="1" ht="12.75">
      <c r="A47" s="89" t="s">
        <v>96</v>
      </c>
      <c r="B47" s="90" t="s">
        <v>28</v>
      </c>
      <c r="C47" s="49" t="s">
        <v>95</v>
      </c>
      <c r="D47" s="53" t="s">
        <v>94</v>
      </c>
      <c r="E47" s="91">
        <f>'MEMÓRIA DE CALCULO'!C122</f>
        <v>3.12</v>
      </c>
      <c r="F47" s="90" t="s">
        <v>8</v>
      </c>
      <c r="G47" s="92">
        <f>370.07/1.23</f>
        <v>300.869918699187</v>
      </c>
      <c r="H47" s="92">
        <f>I11*G47+G47</f>
        <v>362.06686016260164</v>
      </c>
      <c r="I47" s="92">
        <f>H47*E47</f>
        <v>1129.648603707317</v>
      </c>
      <c r="J47" s="25"/>
      <c r="K47" s="4"/>
    </row>
    <row r="48" spans="1:11" s="5" customFormat="1" ht="12.75">
      <c r="A48" s="89" t="s">
        <v>108</v>
      </c>
      <c r="B48" s="90" t="s">
        <v>98</v>
      </c>
      <c r="C48" s="93">
        <v>65509</v>
      </c>
      <c r="D48" s="94" t="s">
        <v>97</v>
      </c>
      <c r="E48" s="91">
        <v>1</v>
      </c>
      <c r="F48" s="90" t="s">
        <v>4</v>
      </c>
      <c r="G48" s="92">
        <f>110.61/1.23</f>
        <v>89.92682926829268</v>
      </c>
      <c r="H48" s="92">
        <f>I11*G48+G48</f>
        <v>108.2179463414634</v>
      </c>
      <c r="I48" s="92">
        <f>H48*E48</f>
        <v>108.2179463414634</v>
      </c>
      <c r="J48" s="25"/>
      <c r="K48" s="4"/>
    </row>
    <row r="49" spans="1:11" s="5" customFormat="1" ht="24.75" customHeight="1">
      <c r="A49" s="61">
        <v>6</v>
      </c>
      <c r="B49" s="62" t="s">
        <v>131</v>
      </c>
      <c r="C49" s="63"/>
      <c r="D49" s="64"/>
      <c r="E49" s="103"/>
      <c r="F49" s="64"/>
      <c r="G49" s="64"/>
      <c r="H49" s="64"/>
      <c r="I49" s="66">
        <f>SUM(I50:I51)</f>
        <v>3219.537792497561</v>
      </c>
      <c r="J49" s="25"/>
      <c r="K49" s="4"/>
    </row>
    <row r="50" spans="1:11" s="5" customFormat="1" ht="25.5">
      <c r="A50" s="89" t="s">
        <v>106</v>
      </c>
      <c r="B50" s="90" t="s">
        <v>28</v>
      </c>
      <c r="C50" s="44" t="s">
        <v>104</v>
      </c>
      <c r="D50" s="45" t="s">
        <v>103</v>
      </c>
      <c r="E50" s="91">
        <f>'MEMÓRIA DE CALCULO'!H129</f>
        <v>33.66</v>
      </c>
      <c r="F50" s="90" t="s">
        <v>8</v>
      </c>
      <c r="G50" s="92">
        <f>33.68/1.23</f>
        <v>27.382113821138212</v>
      </c>
      <c r="H50" s="92">
        <f>I11*G50+G50</f>
        <v>32.951635772357726</v>
      </c>
      <c r="I50" s="92">
        <f>H50*E50</f>
        <v>1109.152060097561</v>
      </c>
      <c r="J50" s="25"/>
      <c r="K50" s="4"/>
    </row>
    <row r="51" spans="1:11" s="5" customFormat="1" ht="42.75" customHeight="1">
      <c r="A51" s="89" t="s">
        <v>107</v>
      </c>
      <c r="B51" s="90" t="s">
        <v>79</v>
      </c>
      <c r="C51" s="44">
        <v>87251</v>
      </c>
      <c r="D51" s="45" t="s">
        <v>105</v>
      </c>
      <c r="E51" s="91">
        <f>'MEMÓRIA DE CALCULO'!H129</f>
        <v>33.66</v>
      </c>
      <c r="F51" s="90" t="s">
        <v>8</v>
      </c>
      <c r="G51" s="92">
        <v>52.1</v>
      </c>
      <c r="H51" s="92">
        <f>I11*G51+G51</f>
        <v>62.697140000000005</v>
      </c>
      <c r="I51" s="92">
        <f>H51*E51</f>
        <v>2110.3857324</v>
      </c>
      <c r="J51" s="25"/>
      <c r="K51" s="4"/>
    </row>
    <row r="52" spans="1:11" s="5" customFormat="1" ht="26.25" customHeight="1">
      <c r="A52" s="61">
        <v>7</v>
      </c>
      <c r="B52" s="62" t="s">
        <v>132</v>
      </c>
      <c r="C52" s="63"/>
      <c r="D52" s="64"/>
      <c r="E52" s="103"/>
      <c r="F52" s="64"/>
      <c r="G52" s="64"/>
      <c r="H52" s="64"/>
      <c r="I52" s="66">
        <f>I53+I62+I67+I73+I78+I84+I90</f>
        <v>27805.538849791523</v>
      </c>
      <c r="J52" s="25"/>
      <c r="K52" s="4"/>
    </row>
    <row r="53" spans="1:11" s="5" customFormat="1" ht="12.75">
      <c r="A53" s="67" t="s">
        <v>135</v>
      </c>
      <c r="B53" s="68" t="s">
        <v>136</v>
      </c>
      <c r="C53" s="69"/>
      <c r="D53" s="70"/>
      <c r="E53" s="104"/>
      <c r="F53" s="71"/>
      <c r="G53" s="72"/>
      <c r="H53" s="72"/>
      <c r="I53" s="73">
        <f>SUM(I54:I61)</f>
        <v>7073.338082299188</v>
      </c>
      <c r="J53" s="25"/>
      <c r="K53" s="4"/>
    </row>
    <row r="54" spans="1:11" s="5" customFormat="1" ht="25.5">
      <c r="A54" s="89" t="s">
        <v>178</v>
      </c>
      <c r="B54" s="90" t="s">
        <v>28</v>
      </c>
      <c r="C54" s="44" t="s">
        <v>296</v>
      </c>
      <c r="D54" s="113" t="s">
        <v>295</v>
      </c>
      <c r="E54" s="87">
        <v>10</v>
      </c>
      <c r="F54" s="86" t="s">
        <v>7</v>
      </c>
      <c r="G54" s="88">
        <f>21.63/1.23</f>
        <v>17.585365853658537</v>
      </c>
      <c r="H54" s="88">
        <f>I11*G54+G54</f>
        <v>21.162229268292684</v>
      </c>
      <c r="I54" s="88">
        <f>H54*E54</f>
        <v>211.62229268292685</v>
      </c>
      <c r="J54" s="25"/>
      <c r="K54" s="4"/>
    </row>
    <row r="55" spans="1:11" s="5" customFormat="1" ht="25.5">
      <c r="A55" s="89" t="s">
        <v>178</v>
      </c>
      <c r="B55" s="90" t="s">
        <v>28</v>
      </c>
      <c r="C55" s="44" t="s">
        <v>138</v>
      </c>
      <c r="D55" s="45" t="s">
        <v>137</v>
      </c>
      <c r="E55" s="87">
        <f>'MEMÓRIA DE CALCULO'!G136</f>
        <v>48</v>
      </c>
      <c r="F55" s="86" t="s">
        <v>17</v>
      </c>
      <c r="G55" s="88">
        <f>90.12/1.23</f>
        <v>73.26829268292684</v>
      </c>
      <c r="H55" s="88">
        <f>I11*G55+G55</f>
        <v>88.17106341463416</v>
      </c>
      <c r="I55" s="88">
        <f>E55*H55</f>
        <v>4232.21104390244</v>
      </c>
      <c r="J55" s="25"/>
      <c r="K55" s="4"/>
    </row>
    <row r="56" spans="1:11" s="5" customFormat="1" ht="12.75">
      <c r="A56" s="89" t="s">
        <v>179</v>
      </c>
      <c r="B56" s="90" t="s">
        <v>28</v>
      </c>
      <c r="C56" s="44" t="s">
        <v>38</v>
      </c>
      <c r="D56" s="42" t="s">
        <v>37</v>
      </c>
      <c r="E56" s="87">
        <f>'MEMÓRIA DE CALCULO'!E141</f>
        <v>0.8069999999999999</v>
      </c>
      <c r="F56" s="86" t="s">
        <v>7</v>
      </c>
      <c r="G56" s="88">
        <f>82.47/1.23</f>
        <v>67.04878048780488</v>
      </c>
      <c r="H56" s="88">
        <f>I11*G56+G56</f>
        <v>80.6865024390244</v>
      </c>
      <c r="I56" s="88">
        <f aca="true" t="shared" si="0" ref="I56:I61">E56*H56</f>
        <v>65.11400746829268</v>
      </c>
      <c r="J56" s="25"/>
      <c r="K56" s="4"/>
    </row>
    <row r="57" spans="1:11" s="5" customFormat="1" ht="12.75">
      <c r="A57" s="89" t="s">
        <v>180</v>
      </c>
      <c r="B57" s="90" t="s">
        <v>28</v>
      </c>
      <c r="C57" s="44" t="s">
        <v>141</v>
      </c>
      <c r="D57" s="42" t="s">
        <v>52</v>
      </c>
      <c r="E57" s="87">
        <f>'MEMÓRIA DE CALCULO'!E146</f>
        <v>0.40349999999999997</v>
      </c>
      <c r="F57" s="86" t="s">
        <v>7</v>
      </c>
      <c r="G57" s="88">
        <f>72.16/1.23</f>
        <v>58.666666666666664</v>
      </c>
      <c r="H57" s="88">
        <f>I11*G57+G57</f>
        <v>70.59946666666666</v>
      </c>
      <c r="I57" s="88">
        <f t="shared" si="0"/>
        <v>28.486884799999995</v>
      </c>
      <c r="J57" s="25"/>
      <c r="K57" s="4"/>
    </row>
    <row r="58" spans="1:11" s="5" customFormat="1" ht="12.75">
      <c r="A58" s="89" t="s">
        <v>181</v>
      </c>
      <c r="B58" s="90" t="s">
        <v>28</v>
      </c>
      <c r="C58" s="44" t="s">
        <v>142</v>
      </c>
      <c r="D58" s="42" t="s">
        <v>54</v>
      </c>
      <c r="E58" s="87">
        <f>'MEMÓRIA DE CALCULO'!E151</f>
        <v>2.69</v>
      </c>
      <c r="F58" s="86" t="s">
        <v>8</v>
      </c>
      <c r="G58" s="88">
        <f>9.73/1.23</f>
        <v>7.910569105691057</v>
      </c>
      <c r="H58" s="88">
        <f>I11*G58+G58</f>
        <v>9.519578861788618</v>
      </c>
      <c r="I58" s="88">
        <f t="shared" si="0"/>
        <v>25.607667138211383</v>
      </c>
      <c r="J58" s="25"/>
      <c r="K58" s="4"/>
    </row>
    <row r="59" spans="1:11" s="5" customFormat="1" ht="12.75">
      <c r="A59" s="89" t="s">
        <v>182</v>
      </c>
      <c r="B59" s="90" t="s">
        <v>28</v>
      </c>
      <c r="C59" s="44" t="s">
        <v>57</v>
      </c>
      <c r="D59" s="42" t="s">
        <v>56</v>
      </c>
      <c r="E59" s="87">
        <f>'MEMÓRIA DE CALCULO'!E156</f>
        <v>8.069999999999999</v>
      </c>
      <c r="F59" s="86" t="s">
        <v>8</v>
      </c>
      <c r="G59" s="88">
        <f>146.62/1.23</f>
        <v>119.20325203252033</v>
      </c>
      <c r="H59" s="88">
        <f>I11*G59+G59</f>
        <v>143.44919349593496</v>
      </c>
      <c r="I59" s="88">
        <f t="shared" si="0"/>
        <v>1157.634991512195</v>
      </c>
      <c r="J59" s="25"/>
      <c r="K59" s="4"/>
    </row>
    <row r="60" spans="1:11" s="5" customFormat="1" ht="12.75">
      <c r="A60" s="89" t="s">
        <v>183</v>
      </c>
      <c r="B60" s="90" t="s">
        <v>28</v>
      </c>
      <c r="C60" s="44" t="s">
        <v>144</v>
      </c>
      <c r="D60" s="42" t="s">
        <v>143</v>
      </c>
      <c r="E60" s="87">
        <f>'MEMÓRIA DE CALCULO'!E161</f>
        <v>0.8069999999999999</v>
      </c>
      <c r="F60" s="86" t="s">
        <v>7</v>
      </c>
      <c r="G60" s="88">
        <f>586.91/1.23</f>
        <v>477.1626016260162</v>
      </c>
      <c r="H60" s="88">
        <f>I11*G60+G60</f>
        <v>574.2174747967479</v>
      </c>
      <c r="I60" s="88">
        <f t="shared" si="0"/>
        <v>463.3935021609755</v>
      </c>
      <c r="J60" s="25"/>
      <c r="K60" s="4"/>
    </row>
    <row r="61" spans="1:11" s="5" customFormat="1" ht="12.75">
      <c r="A61" s="89" t="s">
        <v>184</v>
      </c>
      <c r="B61" s="90" t="s">
        <v>28</v>
      </c>
      <c r="C61" s="44" t="s">
        <v>140</v>
      </c>
      <c r="D61" s="42" t="s">
        <v>139</v>
      </c>
      <c r="E61" s="87">
        <f>'MEMÓRIA DE CALCULO'!E166</f>
        <v>56.489999999999995</v>
      </c>
      <c r="F61" s="86" t="s">
        <v>6</v>
      </c>
      <c r="G61" s="88">
        <f>16.09/1.23</f>
        <v>13.08130081300813</v>
      </c>
      <c r="H61" s="88">
        <f>I11*G61+G61</f>
        <v>15.742037398373984</v>
      </c>
      <c r="I61" s="88">
        <f t="shared" si="0"/>
        <v>889.2676926341463</v>
      </c>
      <c r="J61" s="25"/>
      <c r="K61" s="4"/>
    </row>
    <row r="62" spans="1:11" s="5" customFormat="1" ht="12.75">
      <c r="A62" s="67" t="s">
        <v>146</v>
      </c>
      <c r="B62" s="68" t="s">
        <v>145</v>
      </c>
      <c r="C62" s="69"/>
      <c r="D62" s="70"/>
      <c r="E62" s="104"/>
      <c r="F62" s="71"/>
      <c r="G62" s="72"/>
      <c r="H62" s="72"/>
      <c r="I62" s="73">
        <f>SUM(I63:I66)</f>
        <v>2969.1394667447153</v>
      </c>
      <c r="J62" s="25"/>
      <c r="K62" s="4"/>
    </row>
    <row r="63" spans="1:11" s="5" customFormat="1" ht="12.75">
      <c r="A63" s="89" t="s">
        <v>185</v>
      </c>
      <c r="B63" s="90" t="s">
        <v>28</v>
      </c>
      <c r="C63" s="44" t="s">
        <v>57</v>
      </c>
      <c r="D63" s="42" t="s">
        <v>56</v>
      </c>
      <c r="E63" s="87">
        <f>'MEMÓRIA DE CALCULO'!E172</f>
        <v>11.059999999999999</v>
      </c>
      <c r="F63" s="86" t="s">
        <v>8</v>
      </c>
      <c r="G63" s="88">
        <f>146.62/1.23</f>
        <v>119.20325203252033</v>
      </c>
      <c r="H63" s="88">
        <f>I11*G63+G63</f>
        <v>143.44919349593496</v>
      </c>
      <c r="I63" s="88">
        <f aca="true" t="shared" si="1" ref="I63:I65">E63*H63</f>
        <v>1586.5480800650405</v>
      </c>
      <c r="J63" s="25"/>
      <c r="K63" s="4"/>
    </row>
    <row r="64" spans="1:11" s="5" customFormat="1" ht="12.75">
      <c r="A64" s="89" t="s">
        <v>186</v>
      </c>
      <c r="B64" s="90" t="s">
        <v>28</v>
      </c>
      <c r="C64" s="44" t="s">
        <v>144</v>
      </c>
      <c r="D64" s="42" t="s">
        <v>143</v>
      </c>
      <c r="E64" s="87">
        <f>'MEMÓRIA DE CALCULO'!J177</f>
        <v>0.474</v>
      </c>
      <c r="F64" s="86" t="s">
        <v>7</v>
      </c>
      <c r="G64" s="88">
        <f>586.91/1.23</f>
        <v>477.1626016260162</v>
      </c>
      <c r="H64" s="88">
        <f>I11*G64+G64</f>
        <v>574.2174747967479</v>
      </c>
      <c r="I64" s="88">
        <f t="shared" si="1"/>
        <v>272.1790830536585</v>
      </c>
      <c r="J64" s="25"/>
      <c r="K64" s="4"/>
    </row>
    <row r="65" spans="1:11" s="5" customFormat="1" ht="12.75">
      <c r="A65" s="89" t="s">
        <v>187</v>
      </c>
      <c r="B65" s="90" t="s">
        <v>28</v>
      </c>
      <c r="C65" s="44" t="s">
        <v>140</v>
      </c>
      <c r="D65" s="42" t="s">
        <v>139</v>
      </c>
      <c r="E65" s="87">
        <f>'MEMÓRIA DE CALCULO'!E182</f>
        <v>42.66</v>
      </c>
      <c r="F65" s="86" t="s">
        <v>6</v>
      </c>
      <c r="G65" s="88">
        <f>16.09/1.23</f>
        <v>13.08130081300813</v>
      </c>
      <c r="H65" s="88">
        <f>I11*G65+G65</f>
        <v>15.742037398373984</v>
      </c>
      <c r="I65" s="88">
        <f t="shared" si="1"/>
        <v>671.5553154146342</v>
      </c>
      <c r="J65" s="25"/>
      <c r="K65" s="4"/>
    </row>
    <row r="66" spans="1:11" s="5" customFormat="1" ht="25.5">
      <c r="A66" s="89" t="s">
        <v>199</v>
      </c>
      <c r="B66" s="90" t="s">
        <v>28</v>
      </c>
      <c r="C66" s="44" t="s">
        <v>201</v>
      </c>
      <c r="D66" s="117" t="s">
        <v>200</v>
      </c>
      <c r="E66" s="87">
        <f>'MEMÓRIA DE CALCULO'!E186</f>
        <v>13.45</v>
      </c>
      <c r="F66" s="86" t="s">
        <v>17</v>
      </c>
      <c r="G66" s="88">
        <f>33.35/1.23</f>
        <v>27.113821138211385</v>
      </c>
      <c r="H66" s="88">
        <f>I11*G66+G66</f>
        <v>32.628772357723584</v>
      </c>
      <c r="I66" s="88">
        <f>H66*E66</f>
        <v>438.8569882113822</v>
      </c>
      <c r="J66" s="25"/>
      <c r="K66" s="4"/>
    </row>
    <row r="67" spans="1:11" s="5" customFormat="1" ht="12.75">
      <c r="A67" s="67" t="s">
        <v>155</v>
      </c>
      <c r="B67" s="68" t="s">
        <v>169</v>
      </c>
      <c r="C67" s="69"/>
      <c r="D67" s="70"/>
      <c r="E67" s="104"/>
      <c r="F67" s="71"/>
      <c r="G67" s="72"/>
      <c r="H67" s="72"/>
      <c r="I67" s="73">
        <f>SUM(I68:I71)</f>
        <v>5685.620231186993</v>
      </c>
      <c r="J67" s="25"/>
      <c r="K67" s="4"/>
    </row>
    <row r="68" spans="1:11" s="5" customFormat="1" ht="12.75">
      <c r="A68" s="85" t="s">
        <v>188</v>
      </c>
      <c r="B68" s="86" t="s">
        <v>28</v>
      </c>
      <c r="C68" s="44" t="s">
        <v>148</v>
      </c>
      <c r="D68" s="42" t="s">
        <v>147</v>
      </c>
      <c r="E68" s="87">
        <f>'MEMÓRIA DE CALCULO'!G195</f>
        <v>26.020000000000003</v>
      </c>
      <c r="F68" s="86" t="s">
        <v>8</v>
      </c>
      <c r="G68" s="88">
        <f>80.59/1.23</f>
        <v>65.52032520325204</v>
      </c>
      <c r="H68" s="88">
        <f>I11*G68+G68</f>
        <v>78.84715934959351</v>
      </c>
      <c r="I68" s="88">
        <f>H68*E68</f>
        <v>2051.6030862764233</v>
      </c>
      <c r="J68" s="25"/>
      <c r="K68" s="4"/>
    </row>
    <row r="69" spans="1:11" s="5" customFormat="1" ht="12.75">
      <c r="A69" s="85" t="s">
        <v>189</v>
      </c>
      <c r="B69" s="86" t="s">
        <v>28</v>
      </c>
      <c r="C69" s="44" t="s">
        <v>150</v>
      </c>
      <c r="D69" s="42" t="s">
        <v>149</v>
      </c>
      <c r="E69" s="87">
        <f>'MEMÓRIA DE CALCULO'!B197</f>
        <v>52.040000000000006</v>
      </c>
      <c r="F69" s="86" t="s">
        <v>8</v>
      </c>
      <c r="G69" s="88">
        <f>7.45/1.23</f>
        <v>6.056910569105692</v>
      </c>
      <c r="H69" s="88">
        <f>I11*G69+G69</f>
        <v>7.288886178861789</v>
      </c>
      <c r="I69" s="88">
        <f aca="true" t="shared" si="2" ref="I69:I71">H69*E69</f>
        <v>379.31363674796756</v>
      </c>
      <c r="J69" s="25"/>
      <c r="K69" s="4"/>
    </row>
    <row r="70" spans="1:11" s="5" customFormat="1" ht="12.75">
      <c r="A70" s="85" t="s">
        <v>190</v>
      </c>
      <c r="B70" s="86" t="s">
        <v>28</v>
      </c>
      <c r="C70" s="44" t="s">
        <v>152</v>
      </c>
      <c r="D70" s="42" t="s">
        <v>151</v>
      </c>
      <c r="E70" s="87">
        <f>'MEMÓRIA DE CALCULO'!B200</f>
        <v>52.040000000000006</v>
      </c>
      <c r="F70" s="86" t="s">
        <v>8</v>
      </c>
      <c r="G70" s="88">
        <f>37.94/1.23</f>
        <v>30.84552845528455</v>
      </c>
      <c r="H70" s="88">
        <f>I11*G70+G70</f>
        <v>37.11950894308943</v>
      </c>
      <c r="I70" s="88">
        <f t="shared" si="2"/>
        <v>1931.6992453983742</v>
      </c>
      <c r="J70" s="25"/>
      <c r="K70" s="4"/>
    </row>
    <row r="71" spans="1:11" s="5" customFormat="1" ht="12.75">
      <c r="A71" s="85" t="s">
        <v>191</v>
      </c>
      <c r="B71" s="86" t="s">
        <v>28</v>
      </c>
      <c r="C71" s="44" t="s">
        <v>154</v>
      </c>
      <c r="D71" s="42" t="s">
        <v>153</v>
      </c>
      <c r="E71" s="87">
        <f>'MEMÓRIA DE CALCULO'!B203</f>
        <v>48.800000000000004</v>
      </c>
      <c r="F71" s="86" t="s">
        <v>8</v>
      </c>
      <c r="G71" s="88">
        <f>27.71/1.23</f>
        <v>22.528455284552848</v>
      </c>
      <c r="H71" s="88">
        <f>I11*G71+G71</f>
        <v>27.110743089430898</v>
      </c>
      <c r="I71" s="88">
        <f t="shared" si="2"/>
        <v>1323.0042627642279</v>
      </c>
      <c r="J71" s="25"/>
      <c r="K71" s="4"/>
    </row>
    <row r="72" spans="1:11" s="5" customFormat="1" ht="25.5">
      <c r="A72" s="85" t="s">
        <v>192</v>
      </c>
      <c r="B72" s="86" t="s">
        <v>28</v>
      </c>
      <c r="C72" s="44" t="s">
        <v>171</v>
      </c>
      <c r="D72" s="45" t="s">
        <v>170</v>
      </c>
      <c r="E72" s="87">
        <f>'MEMÓRIA DE CALCULO'!E206</f>
        <v>3.24</v>
      </c>
      <c r="F72" s="86" t="s">
        <v>8</v>
      </c>
      <c r="G72" s="88">
        <f>122.72/1.23</f>
        <v>99.77235772357723</v>
      </c>
      <c r="H72" s="88">
        <f>I11*G72+G72</f>
        <v>120.06605528455285</v>
      </c>
      <c r="I72" s="88">
        <f>H72*E72</f>
        <v>389.01401912195126</v>
      </c>
      <c r="J72" s="25"/>
      <c r="K72" s="4"/>
    </row>
    <row r="73" spans="1:11" s="5" customFormat="1" ht="12.75">
      <c r="A73" s="67" t="s">
        <v>163</v>
      </c>
      <c r="B73" s="68" t="s">
        <v>156</v>
      </c>
      <c r="C73" s="69"/>
      <c r="D73" s="70"/>
      <c r="E73" s="104"/>
      <c r="F73" s="71"/>
      <c r="G73" s="72"/>
      <c r="H73" s="72"/>
      <c r="I73" s="73">
        <f>SUM(I74:I77)</f>
        <v>5981.059627382114</v>
      </c>
      <c r="J73" s="25"/>
      <c r="K73" s="4"/>
    </row>
    <row r="74" spans="1:11" s="5" customFormat="1" ht="25.5">
      <c r="A74" s="89" t="s">
        <v>193</v>
      </c>
      <c r="B74" s="86" t="s">
        <v>28</v>
      </c>
      <c r="C74" s="44" t="s">
        <v>158</v>
      </c>
      <c r="D74" s="48" t="s">
        <v>157</v>
      </c>
      <c r="E74" s="91">
        <v>1</v>
      </c>
      <c r="F74" s="90" t="s">
        <v>4</v>
      </c>
      <c r="G74" s="92">
        <f>1310.81/1.23</f>
        <v>1065.69918699187</v>
      </c>
      <c r="H74" s="92">
        <f>I11*G74+G74</f>
        <v>1282.4624016260163</v>
      </c>
      <c r="I74" s="92">
        <f>H74*E74</f>
        <v>1282.4624016260163</v>
      </c>
      <c r="J74" s="25"/>
      <c r="K74" s="4"/>
    </row>
    <row r="75" spans="1:11" s="5" customFormat="1" ht="63.75">
      <c r="A75" s="89" t="s">
        <v>211</v>
      </c>
      <c r="B75" s="86" t="s">
        <v>79</v>
      </c>
      <c r="C75" s="44">
        <v>94559</v>
      </c>
      <c r="D75" s="48" t="s">
        <v>159</v>
      </c>
      <c r="E75" s="91">
        <f>2*0.6</f>
        <v>1.2</v>
      </c>
      <c r="F75" s="90" t="s">
        <v>8</v>
      </c>
      <c r="G75" s="92">
        <v>823.95</v>
      </c>
      <c r="H75" s="92">
        <f>I11*G75+G75</f>
        <v>991.54143</v>
      </c>
      <c r="I75" s="92">
        <f aca="true" t="shared" si="3" ref="I75:I77">H75*E75</f>
        <v>1189.849716</v>
      </c>
      <c r="J75" s="25"/>
      <c r="K75" s="4"/>
    </row>
    <row r="76" spans="1:11" s="5" customFormat="1" ht="63.75">
      <c r="A76" s="89" t="s">
        <v>213</v>
      </c>
      <c r="B76" s="86" t="s">
        <v>79</v>
      </c>
      <c r="C76" s="44">
        <v>94562</v>
      </c>
      <c r="D76" s="48" t="s">
        <v>160</v>
      </c>
      <c r="E76" s="91">
        <f>2*1.5</f>
        <v>3</v>
      </c>
      <c r="F76" s="90" t="s">
        <v>8</v>
      </c>
      <c r="G76" s="92">
        <v>788.1</v>
      </c>
      <c r="H76" s="92">
        <f>I11*G76+G76</f>
        <v>948.39954</v>
      </c>
      <c r="I76" s="92">
        <f t="shared" si="3"/>
        <v>2845.19862</v>
      </c>
      <c r="J76" s="25"/>
      <c r="K76" s="4"/>
    </row>
    <row r="77" spans="1:11" s="5" customFormat="1" ht="12.75">
      <c r="A77" s="89" t="s">
        <v>212</v>
      </c>
      <c r="B77" s="90" t="s">
        <v>28</v>
      </c>
      <c r="C77" s="37" t="s">
        <v>162</v>
      </c>
      <c r="D77" s="42" t="s">
        <v>161</v>
      </c>
      <c r="E77" s="91">
        <f>E76+E75</f>
        <v>4.2</v>
      </c>
      <c r="F77" s="90"/>
      <c r="G77" s="92">
        <f>161.48/1.23</f>
        <v>131.28455284552845</v>
      </c>
      <c r="H77" s="92">
        <f>I11*G77+G77</f>
        <v>157.98783089430893</v>
      </c>
      <c r="I77" s="92">
        <f t="shared" si="3"/>
        <v>663.5488897560975</v>
      </c>
      <c r="J77" s="25"/>
      <c r="K77" s="4"/>
    </row>
    <row r="78" spans="1:11" s="5" customFormat="1" ht="12.75">
      <c r="A78" s="67" t="s">
        <v>168</v>
      </c>
      <c r="B78" s="68" t="s">
        <v>164</v>
      </c>
      <c r="C78" s="69"/>
      <c r="D78" s="70"/>
      <c r="E78" s="104"/>
      <c r="F78" s="71"/>
      <c r="G78" s="72"/>
      <c r="H78" s="72"/>
      <c r="I78" s="73">
        <f>SUM(I79:I83)</f>
        <v>2565.7935993495935</v>
      </c>
      <c r="J78" s="25"/>
      <c r="K78" s="4"/>
    </row>
    <row r="79" spans="1:11" s="5" customFormat="1" ht="12.75">
      <c r="A79" s="89" t="s">
        <v>207</v>
      </c>
      <c r="B79" s="90" t="s">
        <v>28</v>
      </c>
      <c r="C79" s="44" t="s">
        <v>167</v>
      </c>
      <c r="D79" s="42" t="s">
        <v>166</v>
      </c>
      <c r="E79" s="91">
        <v>1</v>
      </c>
      <c r="F79" s="90" t="s">
        <v>117</v>
      </c>
      <c r="G79" s="92">
        <f>1191.06/1.23</f>
        <v>968.3414634146341</v>
      </c>
      <c r="H79" s="92">
        <f>I11*G79+G79</f>
        <v>1165.3021170731706</v>
      </c>
      <c r="I79" s="92">
        <f>H79*E79</f>
        <v>1165.3021170731706</v>
      </c>
      <c r="J79" s="25"/>
      <c r="K79" s="4"/>
    </row>
    <row r="80" spans="1:11" s="5" customFormat="1" ht="25.5">
      <c r="A80" s="89" t="s">
        <v>208</v>
      </c>
      <c r="B80" s="90" t="s">
        <v>28</v>
      </c>
      <c r="C80" s="33" t="s">
        <v>288</v>
      </c>
      <c r="D80" s="117" t="s">
        <v>287</v>
      </c>
      <c r="E80" s="91">
        <v>1</v>
      </c>
      <c r="F80" s="90" t="s">
        <v>117</v>
      </c>
      <c r="G80" s="92">
        <f>85/1.23</f>
        <v>69.10569105691057</v>
      </c>
      <c r="H80" s="92">
        <f>I11*G80+G80</f>
        <v>83.16178861788619</v>
      </c>
      <c r="I80" s="92">
        <f>H80*E80</f>
        <v>83.16178861788619</v>
      </c>
      <c r="J80" s="25"/>
      <c r="K80" s="4"/>
    </row>
    <row r="81" spans="1:11" s="5" customFormat="1" ht="25.5">
      <c r="A81" s="89" t="s">
        <v>209</v>
      </c>
      <c r="B81" s="90" t="s">
        <v>28</v>
      </c>
      <c r="C81" s="33" t="s">
        <v>290</v>
      </c>
      <c r="D81" s="117" t="s">
        <v>289</v>
      </c>
      <c r="E81" s="91">
        <v>6</v>
      </c>
      <c r="F81" s="90" t="s">
        <v>17</v>
      </c>
      <c r="G81" s="92">
        <f>59.25/1.23</f>
        <v>48.170731707317074</v>
      </c>
      <c r="H81" s="92">
        <f>I11*G81+G81</f>
        <v>57.968658536585366</v>
      </c>
      <c r="I81" s="92">
        <f>H81*E81</f>
        <v>347.8119512195122</v>
      </c>
      <c r="J81" s="25"/>
      <c r="K81" s="4"/>
    </row>
    <row r="82" spans="1:11" s="5" customFormat="1" ht="25.5">
      <c r="A82" s="89" t="s">
        <v>210</v>
      </c>
      <c r="B82" s="90" t="s">
        <v>28</v>
      </c>
      <c r="C82" s="33" t="s">
        <v>292</v>
      </c>
      <c r="D82" s="117" t="s">
        <v>291</v>
      </c>
      <c r="E82" s="91">
        <v>12</v>
      </c>
      <c r="F82" s="90" t="s">
        <v>17</v>
      </c>
      <c r="G82" s="92">
        <f>79.83/1.23</f>
        <v>64.90243902439025</v>
      </c>
      <c r="H82" s="92">
        <f>I11*G82+G82</f>
        <v>78.10359512195123</v>
      </c>
      <c r="I82" s="92">
        <f>H82*E82</f>
        <v>937.2431414634148</v>
      </c>
      <c r="J82" s="25"/>
      <c r="K82" s="4"/>
    </row>
    <row r="83" spans="1:11" s="5" customFormat="1" ht="12.75">
      <c r="A83" s="89" t="s">
        <v>293</v>
      </c>
      <c r="B83" s="75" t="s">
        <v>28</v>
      </c>
      <c r="C83" s="51" t="s">
        <v>38</v>
      </c>
      <c r="D83" s="50" t="s">
        <v>37</v>
      </c>
      <c r="E83" s="105">
        <f>0.2*0.2*10</f>
        <v>0.4000000000000001</v>
      </c>
      <c r="F83" s="76" t="s">
        <v>7</v>
      </c>
      <c r="G83" s="77">
        <f>82.47/1.23</f>
        <v>67.04878048780488</v>
      </c>
      <c r="H83" s="77">
        <f>G83*I11+G83</f>
        <v>80.6865024390244</v>
      </c>
      <c r="I83" s="77">
        <f>H83*E83</f>
        <v>32.274600975609765</v>
      </c>
      <c r="J83" s="25"/>
      <c r="K83" s="4"/>
    </row>
    <row r="84" spans="1:11" s="5" customFormat="1" ht="12.75">
      <c r="A84" s="67" t="s">
        <v>202</v>
      </c>
      <c r="B84" s="68" t="s">
        <v>165</v>
      </c>
      <c r="C84" s="69"/>
      <c r="D84" s="70"/>
      <c r="E84" s="104"/>
      <c r="F84" s="71"/>
      <c r="G84" s="72"/>
      <c r="H84" s="72"/>
      <c r="I84" s="73">
        <f>SUM(I85:I89)</f>
        <v>1751.631861788618</v>
      </c>
      <c r="J84" s="25"/>
      <c r="K84" s="4"/>
    </row>
    <row r="85" spans="1:11" s="5" customFormat="1" ht="25.5">
      <c r="A85" s="89" t="s">
        <v>203</v>
      </c>
      <c r="B85" s="86" t="s">
        <v>28</v>
      </c>
      <c r="C85" s="33" t="s">
        <v>277</v>
      </c>
      <c r="D85" s="117" t="s">
        <v>276</v>
      </c>
      <c r="E85" s="91">
        <v>1</v>
      </c>
      <c r="F85" s="90" t="s">
        <v>117</v>
      </c>
      <c r="G85" s="92">
        <f>237.4/1.23</f>
        <v>193.00813008130083</v>
      </c>
      <c r="H85" s="92">
        <f>G85*I11+G85</f>
        <v>232.26598373983742</v>
      </c>
      <c r="I85" s="92">
        <f>H85*E85</f>
        <v>232.26598373983742</v>
      </c>
      <c r="J85" s="25"/>
      <c r="K85" s="4"/>
    </row>
    <row r="86" spans="1:11" s="5" customFormat="1" ht="25.5">
      <c r="A86" s="89" t="s">
        <v>204</v>
      </c>
      <c r="B86" s="86" t="s">
        <v>28</v>
      </c>
      <c r="C86" s="33" t="s">
        <v>279</v>
      </c>
      <c r="D86" s="117" t="s">
        <v>278</v>
      </c>
      <c r="E86" s="91">
        <v>2</v>
      </c>
      <c r="F86" s="90" t="s">
        <v>117</v>
      </c>
      <c r="G86" s="92">
        <f>254.7/1.23</f>
        <v>207.0731707317073</v>
      </c>
      <c r="H86" s="92">
        <f>I11*G86+G86</f>
        <v>249.19185365853656</v>
      </c>
      <c r="I86" s="92">
        <f aca="true" t="shared" si="4" ref="I86:I89">H86*E86</f>
        <v>498.3837073170731</v>
      </c>
      <c r="J86" s="25"/>
      <c r="K86" s="4"/>
    </row>
    <row r="87" spans="1:11" s="5" customFormat="1" ht="25.5">
      <c r="A87" s="89" t="s">
        <v>205</v>
      </c>
      <c r="B87" s="86" t="s">
        <v>28</v>
      </c>
      <c r="C87" s="33" t="s">
        <v>281</v>
      </c>
      <c r="D87" s="117" t="s">
        <v>280</v>
      </c>
      <c r="E87" s="91">
        <v>30</v>
      </c>
      <c r="F87" s="90" t="s">
        <v>17</v>
      </c>
      <c r="G87" s="92">
        <f>10.01/1.23</f>
        <v>8.138211382113822</v>
      </c>
      <c r="H87" s="92">
        <f>I11*G87+G87</f>
        <v>9.793523577235772</v>
      </c>
      <c r="I87" s="92">
        <f t="shared" si="4"/>
        <v>293.8057073170732</v>
      </c>
      <c r="J87" s="25"/>
      <c r="K87" s="4"/>
    </row>
    <row r="88" spans="1:11" s="5" customFormat="1" ht="25.5">
      <c r="A88" s="89" t="s">
        <v>206</v>
      </c>
      <c r="B88" s="86" t="s">
        <v>28</v>
      </c>
      <c r="C88" s="33" t="s">
        <v>284</v>
      </c>
      <c r="D88" s="117" t="s">
        <v>283</v>
      </c>
      <c r="E88" s="91">
        <v>30</v>
      </c>
      <c r="F88" s="90" t="s">
        <v>17</v>
      </c>
      <c r="G88" s="92">
        <f>7.09/1.23</f>
        <v>5.764227642276423</v>
      </c>
      <c r="H88" s="92">
        <f>G88*I11+G88</f>
        <v>6.9366715447154474</v>
      </c>
      <c r="I88" s="92">
        <f t="shared" si="4"/>
        <v>208.10014634146341</v>
      </c>
      <c r="J88" s="25"/>
      <c r="K88" s="4"/>
    </row>
    <row r="89" spans="1:11" s="5" customFormat="1" ht="25.5">
      <c r="A89" s="89" t="s">
        <v>282</v>
      </c>
      <c r="B89" s="86" t="s">
        <v>28</v>
      </c>
      <c r="C89" s="33" t="s">
        <v>286</v>
      </c>
      <c r="D89" s="117" t="s">
        <v>285</v>
      </c>
      <c r="E89" s="91">
        <v>15</v>
      </c>
      <c r="F89" s="90" t="s">
        <v>17</v>
      </c>
      <c r="G89" s="92">
        <f>35.37/1.23</f>
        <v>28.756097560975608</v>
      </c>
      <c r="H89" s="92">
        <f>G89*I11+G89</f>
        <v>34.605087804878046</v>
      </c>
      <c r="I89" s="92">
        <f t="shared" si="4"/>
        <v>519.0763170731707</v>
      </c>
      <c r="J89" s="25"/>
      <c r="K89" s="4"/>
    </row>
    <row r="90" spans="1:11" s="5" customFormat="1" ht="12.75">
      <c r="A90" s="67" t="s">
        <v>270</v>
      </c>
      <c r="B90" s="68" t="s">
        <v>102</v>
      </c>
      <c r="C90" s="69"/>
      <c r="D90" s="70"/>
      <c r="E90" s="104"/>
      <c r="F90" s="71"/>
      <c r="G90" s="72"/>
      <c r="H90" s="72"/>
      <c r="I90" s="73">
        <f>SUM(I91:I95)</f>
        <v>1778.9559810403034</v>
      </c>
      <c r="J90" s="25"/>
      <c r="K90" s="4"/>
    </row>
    <row r="91" spans="1:11" s="5" customFormat="1" ht="12.75">
      <c r="A91" s="89" t="s">
        <v>271</v>
      </c>
      <c r="B91" s="90" t="s">
        <v>28</v>
      </c>
      <c r="C91" s="115" t="s">
        <v>195</v>
      </c>
      <c r="D91" s="116" t="s">
        <v>194</v>
      </c>
      <c r="E91" s="91">
        <f>'MEMÓRIA DE CALCULO'!J225</f>
        <v>5.0625</v>
      </c>
      <c r="F91" s="90" t="s">
        <v>8</v>
      </c>
      <c r="G91" s="92">
        <f>8.24/1.23</f>
        <v>6.699186991869919</v>
      </c>
      <c r="H91" s="92">
        <f>I11*G91+G91</f>
        <v>8.06180162601626</v>
      </c>
      <c r="I91" s="92">
        <f>H91*E91</f>
        <v>40.812870731707314</v>
      </c>
      <c r="J91" s="25"/>
      <c r="K91" s="4"/>
    </row>
    <row r="92" spans="1:11" s="5" customFormat="1" ht="12.75">
      <c r="A92" s="89" t="s">
        <v>272</v>
      </c>
      <c r="B92" s="90" t="s">
        <v>28</v>
      </c>
      <c r="C92" s="115" t="s">
        <v>142</v>
      </c>
      <c r="D92" s="116" t="s">
        <v>54</v>
      </c>
      <c r="E92" s="91">
        <f>'MEMÓRIA DE CALCULO'!J225</f>
        <v>5.0625</v>
      </c>
      <c r="F92" s="90" t="s">
        <v>8</v>
      </c>
      <c r="G92" s="92">
        <f>9.73/1.23</f>
        <v>7.910569105691057</v>
      </c>
      <c r="H92" s="92">
        <f>I11*G92+G92</f>
        <v>9.519578861788618</v>
      </c>
      <c r="I92" s="92">
        <f>H92*E92</f>
        <v>48.19286798780488</v>
      </c>
      <c r="J92" s="25"/>
      <c r="K92" s="4"/>
    </row>
    <row r="93" spans="1:11" s="5" customFormat="1" ht="12.75">
      <c r="A93" s="89" t="s">
        <v>273</v>
      </c>
      <c r="B93" s="90" t="s">
        <v>28</v>
      </c>
      <c r="C93" s="115" t="s">
        <v>197</v>
      </c>
      <c r="D93" s="116" t="s">
        <v>196</v>
      </c>
      <c r="E93" s="91">
        <f>'MEMÓRIA DE CALCULO'!J225</f>
        <v>5.0625</v>
      </c>
      <c r="F93" s="90" t="s">
        <v>8</v>
      </c>
      <c r="G93" s="92">
        <f>41.3/1.23</f>
        <v>33.577235772357724</v>
      </c>
      <c r="H93" s="92">
        <f>G93*I11*G93</f>
        <v>229.31941701368234</v>
      </c>
      <c r="I93" s="92">
        <f>H93*E93</f>
        <v>1160.929548631767</v>
      </c>
      <c r="J93" s="25"/>
      <c r="K93" s="4"/>
    </row>
    <row r="94" spans="1:11" s="5" customFormat="1" ht="39.75" customHeight="1">
      <c r="A94" s="89" t="s">
        <v>274</v>
      </c>
      <c r="B94" s="90" t="s">
        <v>79</v>
      </c>
      <c r="C94" s="44">
        <v>87251</v>
      </c>
      <c r="D94" s="45" t="s">
        <v>105</v>
      </c>
      <c r="E94" s="91">
        <f>'MEMÓRIA DE CALCULO'!J225</f>
        <v>5.0625</v>
      </c>
      <c r="F94" s="90" t="s">
        <v>8</v>
      </c>
      <c r="G94" s="92">
        <v>52.1</v>
      </c>
      <c r="H94" s="92">
        <f>I11*G94+G94</f>
        <v>62.697140000000005</v>
      </c>
      <c r="I94" s="92">
        <f>H94*E94</f>
        <v>317.40427125</v>
      </c>
      <c r="J94" s="25"/>
      <c r="K94" s="4"/>
    </row>
    <row r="95" spans="1:11" s="5" customFormat="1" ht="27" customHeight="1">
      <c r="A95" s="89" t="s">
        <v>301</v>
      </c>
      <c r="B95" s="86" t="s">
        <v>28</v>
      </c>
      <c r="C95" s="49" t="s">
        <v>60</v>
      </c>
      <c r="D95" s="54" t="s">
        <v>59</v>
      </c>
      <c r="E95" s="87">
        <v>3.9</v>
      </c>
      <c r="F95" s="86" t="s">
        <v>8</v>
      </c>
      <c r="G95" s="88">
        <f>55.46/1.23</f>
        <v>45.08943089430895</v>
      </c>
      <c r="H95" s="88">
        <f>I11*G95+G95</f>
        <v>54.260621138211384</v>
      </c>
      <c r="I95" s="88">
        <f>H95*E95</f>
        <v>211.6164224390244</v>
      </c>
      <c r="J95" s="25"/>
      <c r="K95" s="4"/>
    </row>
    <row r="96" spans="1:11" s="5" customFormat="1" ht="26.25" customHeight="1">
      <c r="A96" s="61">
        <v>8</v>
      </c>
      <c r="B96" s="62" t="s">
        <v>215</v>
      </c>
      <c r="C96" s="63"/>
      <c r="D96" s="64"/>
      <c r="E96" s="103"/>
      <c r="F96" s="64"/>
      <c r="G96" s="64"/>
      <c r="H96" s="64"/>
      <c r="I96" s="66">
        <f>I97+I102</f>
        <v>15282.784883666664</v>
      </c>
      <c r="J96" s="25"/>
      <c r="K96" s="4"/>
    </row>
    <row r="97" spans="1:11" s="5" customFormat="1" ht="13.5" customHeight="1">
      <c r="A97" s="67" t="s">
        <v>217</v>
      </c>
      <c r="B97" s="68" t="s">
        <v>237</v>
      </c>
      <c r="C97" s="69"/>
      <c r="D97" s="70"/>
      <c r="E97" s="104"/>
      <c r="F97" s="71"/>
      <c r="G97" s="72"/>
      <c r="H97" s="72"/>
      <c r="I97" s="73">
        <f>SUM(I98:I101)</f>
        <v>6063.824440756096</v>
      </c>
      <c r="J97" s="25"/>
      <c r="K97" s="4"/>
    </row>
    <row r="98" spans="1:11" s="5" customFormat="1" ht="12.75">
      <c r="A98" s="89" t="s">
        <v>219</v>
      </c>
      <c r="B98" s="90" t="s">
        <v>28</v>
      </c>
      <c r="C98" s="115" t="s">
        <v>216</v>
      </c>
      <c r="D98" s="116" t="s">
        <v>230</v>
      </c>
      <c r="E98" s="91">
        <f>'MEMÓRIA DE CALCULO'!D253</f>
        <v>63.01</v>
      </c>
      <c r="F98" s="90" t="s">
        <v>8</v>
      </c>
      <c r="G98" s="92">
        <f>36.01/1.23</f>
        <v>29.27642276422764</v>
      </c>
      <c r="H98" s="92">
        <f>I11*G98+G98</f>
        <v>35.23124715447154</v>
      </c>
      <c r="I98" s="92">
        <f>H98*E98</f>
        <v>2219.920883203252</v>
      </c>
      <c r="J98" s="25"/>
      <c r="K98" s="4"/>
    </row>
    <row r="99" spans="1:11" s="5" customFormat="1" ht="12.75">
      <c r="A99" s="89" t="s">
        <v>232</v>
      </c>
      <c r="B99" s="90" t="s">
        <v>28</v>
      </c>
      <c r="C99" s="115" t="s">
        <v>216</v>
      </c>
      <c r="D99" t="s">
        <v>231</v>
      </c>
      <c r="E99" s="91">
        <f>'MEMÓRIA DE CALCULO'!C266</f>
        <v>97.895</v>
      </c>
      <c r="F99" s="90" t="s">
        <v>8</v>
      </c>
      <c r="G99" s="92">
        <f>36.01/1.23</f>
        <v>29.27642276422764</v>
      </c>
      <c r="H99" s="92">
        <f>I11*G99+G99</f>
        <v>35.23124715447154</v>
      </c>
      <c r="I99" s="92">
        <f>H99*E99</f>
        <v>3448.962940186991</v>
      </c>
      <c r="J99" s="25"/>
      <c r="K99" s="4"/>
    </row>
    <row r="100" spans="1:11" s="5" customFormat="1" ht="12.75">
      <c r="A100" s="89" t="s">
        <v>249</v>
      </c>
      <c r="B100" s="90" t="s">
        <v>28</v>
      </c>
      <c r="C100" s="114" t="s">
        <v>242</v>
      </c>
      <c r="D100" s="116" t="s">
        <v>248</v>
      </c>
      <c r="E100" s="91">
        <f>'MEMÓRIA DE CALCULO'!K270</f>
        <v>8.4</v>
      </c>
      <c r="F100" s="90" t="s">
        <v>8</v>
      </c>
      <c r="G100" s="92">
        <f>34.76/1.23</f>
        <v>28.260162601626014</v>
      </c>
      <c r="H100" s="92">
        <f>I11*G100+G100</f>
        <v>34.008279674796746</v>
      </c>
      <c r="I100" s="92">
        <f>H100*E100</f>
        <v>285.66954926829266</v>
      </c>
      <c r="J100" s="25"/>
      <c r="K100" s="4"/>
    </row>
    <row r="101" spans="1:11" s="5" customFormat="1" ht="12.75">
      <c r="A101" s="89" t="s">
        <v>250</v>
      </c>
      <c r="B101" s="90" t="s">
        <v>28</v>
      </c>
      <c r="C101" s="33" t="s">
        <v>244</v>
      </c>
      <c r="D101" s="116" t="s">
        <v>247</v>
      </c>
      <c r="E101" s="91">
        <f>'MEMÓRIA DE CALCULO'!H276</f>
        <v>3.3600000000000003</v>
      </c>
      <c r="F101" s="90" t="s">
        <v>8</v>
      </c>
      <c r="G101" s="92">
        <f>33.24/1.23</f>
        <v>27.02439024390244</v>
      </c>
      <c r="H101" s="92">
        <f>I11*G101+G101</f>
        <v>32.5211512195122</v>
      </c>
      <c r="I101" s="92">
        <f>H101*E101</f>
        <v>109.271068097561</v>
      </c>
      <c r="J101" s="25"/>
      <c r="K101" s="4"/>
    </row>
    <row r="102" spans="1:11" s="5" customFormat="1" ht="12.75">
      <c r="A102" s="67" t="s">
        <v>245</v>
      </c>
      <c r="B102" s="68" t="s">
        <v>246</v>
      </c>
      <c r="C102" s="69"/>
      <c r="D102" s="70"/>
      <c r="E102" s="104"/>
      <c r="F102" s="71"/>
      <c r="G102" s="72"/>
      <c r="H102" s="72"/>
      <c r="I102" s="73">
        <f>SUM(I103:I104)</f>
        <v>9218.960442910568</v>
      </c>
      <c r="J102" s="25"/>
      <c r="K102" s="4"/>
    </row>
    <row r="103" spans="1:11" s="5" customFormat="1" ht="12.75">
      <c r="A103" s="89" t="s">
        <v>251</v>
      </c>
      <c r="B103" s="90" t="s">
        <v>28</v>
      </c>
      <c r="C103" s="115" t="s">
        <v>216</v>
      </c>
      <c r="D103" s="116" t="s">
        <v>230</v>
      </c>
      <c r="E103" s="91">
        <f>'MEMÓRIA DE CALCULO'!C294</f>
        <v>141.445</v>
      </c>
      <c r="F103" s="90" t="s">
        <v>8</v>
      </c>
      <c r="G103" s="92">
        <f>36.01/1.23</f>
        <v>29.27642276422764</v>
      </c>
      <c r="H103" s="92">
        <f>I11*G103+G103</f>
        <v>35.23124715447154</v>
      </c>
      <c r="I103" s="92">
        <f>H103*E103</f>
        <v>4983.283753764226</v>
      </c>
      <c r="J103" s="25"/>
      <c r="K103" s="4"/>
    </row>
    <row r="104" spans="1:11" s="5" customFormat="1" ht="12.75">
      <c r="A104" s="89" t="s">
        <v>263</v>
      </c>
      <c r="B104" s="90" t="s">
        <v>28</v>
      </c>
      <c r="C104" s="115" t="s">
        <v>216</v>
      </c>
      <c r="D104" t="s">
        <v>231</v>
      </c>
      <c r="E104" s="91">
        <f>'MEMÓRIA DE CALCULO'!C303</f>
        <v>120.22500000000001</v>
      </c>
      <c r="F104" s="90" t="s">
        <v>8</v>
      </c>
      <c r="G104" s="92">
        <f>36.01/1.23</f>
        <v>29.27642276422764</v>
      </c>
      <c r="H104" s="92">
        <f>I11*G104+G104</f>
        <v>35.23124715447154</v>
      </c>
      <c r="I104" s="92">
        <f>H104*E104</f>
        <v>4235.676689146341</v>
      </c>
      <c r="J104" s="25"/>
      <c r="K104" s="4"/>
    </row>
    <row r="105" spans="1:10" s="21" customFormat="1" ht="15.75">
      <c r="A105" s="147" t="s">
        <v>5</v>
      </c>
      <c r="B105" s="147"/>
      <c r="C105" s="147"/>
      <c r="D105" s="147"/>
      <c r="E105" s="147"/>
      <c r="F105" s="147"/>
      <c r="G105" s="147"/>
      <c r="H105" s="147"/>
      <c r="I105" s="95">
        <f>I27+I25+I13+I40+I46+I49+I52+I96</f>
        <v>96719.57348262006</v>
      </c>
      <c r="J105" s="28"/>
    </row>
    <row r="107" spans="7:10" ht="12.75">
      <c r="G107" s="3"/>
      <c r="I107" s="23"/>
      <c r="J107" s="23"/>
    </row>
    <row r="108" ht="12.75">
      <c r="G108" s="3"/>
    </row>
    <row r="109" spans="7:9" ht="12.75">
      <c r="G109" s="150" t="s">
        <v>264</v>
      </c>
      <c r="H109" s="150"/>
      <c r="I109" s="150"/>
    </row>
    <row r="112" spans="7:10" ht="12.75">
      <c r="G112" s="150" t="s">
        <v>265</v>
      </c>
      <c r="H112" s="150"/>
      <c r="I112" s="150"/>
      <c r="J112" s="10"/>
    </row>
    <row r="113" spans="7:10" ht="11.25" customHeight="1">
      <c r="G113" s="150" t="s">
        <v>266</v>
      </c>
      <c r="H113" s="150"/>
      <c r="I113" s="150"/>
      <c r="J113" s="15"/>
    </row>
    <row r="114" spans="7:10" ht="12.75">
      <c r="G114" s="150" t="s">
        <v>267</v>
      </c>
      <c r="H114" s="150"/>
      <c r="I114" s="150"/>
      <c r="J114" s="14"/>
    </row>
    <row r="115" spans="7:10" ht="12.75">
      <c r="G115" s="150" t="s">
        <v>268</v>
      </c>
      <c r="H115" s="150"/>
      <c r="I115" s="150"/>
      <c r="J115" s="19"/>
    </row>
    <row r="116" spans="8:10" ht="12.75">
      <c r="H116" s="148"/>
      <c r="I116" s="148"/>
      <c r="J116" s="20"/>
    </row>
    <row r="117" spans="8:10" ht="12.75">
      <c r="H117" s="1"/>
      <c r="I117" s="10"/>
      <c r="J117" s="10"/>
    </row>
  </sheetData>
  <autoFilter ref="H1:H115"/>
  <mergeCells count="8">
    <mergeCell ref="H116:I116"/>
    <mergeCell ref="A105:H105"/>
    <mergeCell ref="A1:I6"/>
    <mergeCell ref="G109:I109"/>
    <mergeCell ref="G112:I112"/>
    <mergeCell ref="G113:I113"/>
    <mergeCell ref="G114:I114"/>
    <mergeCell ref="G115:I115"/>
  </mergeCells>
  <printOptions/>
  <pageMargins left="0.3937007874015748" right="0.3937007874015748" top="0.35433070866141736" bottom="0.5905511811023623" header="0.11811023622047245" footer="0.11811023622047245"/>
  <pageSetup fitToHeight="2" fitToWidth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303"/>
  <sheetViews>
    <sheetView workbookViewId="0" topLeftCell="A22">
      <selection activeCell="C54" sqref="C54"/>
    </sheetView>
  </sheetViews>
  <sheetFormatPr defaultColWidth="9.33203125" defaultRowHeight="12.75"/>
  <cols>
    <col min="8" max="8" width="10" style="0" bestFit="1" customWidth="1"/>
  </cols>
  <sheetData>
    <row r="4" spans="1:16" ht="12.75">
      <c r="A4" s="118"/>
      <c r="B4" s="119" t="s">
        <v>30</v>
      </c>
      <c r="C4" s="122" t="s">
        <v>23</v>
      </c>
      <c r="D4" s="118"/>
      <c r="E4" s="118"/>
      <c r="F4" s="118"/>
      <c r="G4" s="118"/>
      <c r="H4" s="118"/>
      <c r="I4" s="118"/>
      <c r="J4" s="118">
        <v>8</v>
      </c>
      <c r="K4" s="119" t="s">
        <v>31</v>
      </c>
      <c r="L4" s="118"/>
      <c r="M4" s="118"/>
      <c r="N4" s="118"/>
      <c r="O4" s="119"/>
      <c r="P4" s="118"/>
    </row>
    <row r="5" spans="2:17" ht="12.75">
      <c r="B5" s="29" t="s">
        <v>2</v>
      </c>
      <c r="C5" s="39" t="s">
        <v>24</v>
      </c>
      <c r="J5">
        <v>6</v>
      </c>
      <c r="K5" s="29" t="s">
        <v>36</v>
      </c>
      <c r="L5" s="29"/>
      <c r="P5" s="29"/>
      <c r="Q5" s="29"/>
    </row>
    <row r="6" spans="2:17" ht="12.75">
      <c r="B6" s="29" t="s">
        <v>29</v>
      </c>
      <c r="C6" t="s">
        <v>25</v>
      </c>
      <c r="K6" s="29"/>
      <c r="L6" s="29"/>
      <c r="P6" s="29"/>
      <c r="Q6" s="29"/>
    </row>
    <row r="7" spans="11:17" ht="12.75">
      <c r="K7" s="29"/>
      <c r="L7" s="29"/>
      <c r="P7" s="29"/>
      <c r="Q7" s="29"/>
    </row>
    <row r="8" spans="3:8" ht="12.75">
      <c r="C8">
        <v>8</v>
      </c>
      <c r="D8" s="29" t="s">
        <v>31</v>
      </c>
      <c r="H8" s="29"/>
    </row>
    <row r="9" spans="3:9" ht="12.75">
      <c r="C9">
        <v>1</v>
      </c>
      <c r="D9" s="29" t="s">
        <v>17</v>
      </c>
      <c r="E9" s="29" t="s">
        <v>32</v>
      </c>
      <c r="H9" s="34">
        <f>C8*C9*C10*C11</f>
        <v>0.8</v>
      </c>
      <c r="I9" s="35" t="s">
        <v>7</v>
      </c>
    </row>
    <row r="10" spans="3:5" ht="12.75">
      <c r="C10">
        <v>1</v>
      </c>
      <c r="D10" s="29" t="s">
        <v>17</v>
      </c>
      <c r="E10" s="29" t="s">
        <v>33</v>
      </c>
    </row>
    <row r="11" spans="3:5" ht="12.75">
      <c r="C11" s="29">
        <v>0.1</v>
      </c>
      <c r="D11" s="29" t="s">
        <v>17</v>
      </c>
      <c r="E11" s="29" t="s">
        <v>35</v>
      </c>
    </row>
    <row r="14" spans="2:3" ht="12.75">
      <c r="B14" s="29" t="s">
        <v>40</v>
      </c>
      <c r="C14" s="29" t="s">
        <v>37</v>
      </c>
    </row>
    <row r="16" spans="3:8" ht="12.75">
      <c r="C16">
        <v>1</v>
      </c>
      <c r="D16" s="29" t="s">
        <v>17</v>
      </c>
      <c r="E16" s="29" t="s">
        <v>32</v>
      </c>
      <c r="G16" s="34">
        <f>J4*C16*C17*C18</f>
        <v>14.4</v>
      </c>
      <c r="H16" s="35" t="s">
        <v>39</v>
      </c>
    </row>
    <row r="17" spans="3:5" ht="12.75">
      <c r="C17">
        <v>1</v>
      </c>
      <c r="D17" s="29" t="s">
        <v>17</v>
      </c>
      <c r="E17" s="29" t="s">
        <v>33</v>
      </c>
    </row>
    <row r="18" spans="3:5" ht="12.75">
      <c r="C18">
        <v>1.8</v>
      </c>
      <c r="D18" s="29" t="s">
        <v>17</v>
      </c>
      <c r="E18" s="29" t="s">
        <v>34</v>
      </c>
    </row>
    <row r="21" spans="2:3" ht="12.75">
      <c r="B21" s="29" t="s">
        <v>3</v>
      </c>
      <c r="C21" s="39" t="s">
        <v>44</v>
      </c>
    </row>
    <row r="22" spans="2:14" ht="12.75">
      <c r="B22" s="29" t="s">
        <v>45</v>
      </c>
      <c r="C22" s="40" t="s">
        <v>10</v>
      </c>
      <c r="J22">
        <v>8</v>
      </c>
      <c r="K22" s="30" t="s">
        <v>31</v>
      </c>
      <c r="N22" s="30"/>
    </row>
    <row r="23" spans="2:11" ht="12.75">
      <c r="B23" s="29" t="s">
        <v>46</v>
      </c>
      <c r="C23" s="40" t="s">
        <v>22</v>
      </c>
      <c r="J23">
        <v>6</v>
      </c>
      <c r="K23" s="30" t="s">
        <v>36</v>
      </c>
    </row>
    <row r="25" spans="3:4" ht="12.75">
      <c r="C25" s="38">
        <f>J4*J5</f>
        <v>48</v>
      </c>
      <c r="D25" s="38" t="s">
        <v>17</v>
      </c>
    </row>
    <row r="27" ht="12.75">
      <c r="C27" s="41"/>
    </row>
    <row r="28" spans="2:3" ht="12.75">
      <c r="B28" s="29" t="s">
        <v>47</v>
      </c>
      <c r="C28" s="39" t="s">
        <v>48</v>
      </c>
    </row>
    <row r="29" spans="2:3" ht="12.75">
      <c r="B29" s="29" t="s">
        <v>49</v>
      </c>
      <c r="C29" s="29" t="s">
        <v>52</v>
      </c>
    </row>
    <row r="31" spans="5:6" ht="12.75">
      <c r="E31" s="34">
        <f>G16</f>
        <v>14.4</v>
      </c>
      <c r="F31" s="35" t="s">
        <v>39</v>
      </c>
    </row>
    <row r="34" spans="2:3" ht="12.75">
      <c r="B34" s="29" t="s">
        <v>50</v>
      </c>
      <c r="C34" s="29" t="s">
        <v>54</v>
      </c>
    </row>
    <row r="36" spans="3:8" ht="12.75">
      <c r="C36">
        <v>1</v>
      </c>
      <c r="D36" s="29" t="s">
        <v>17</v>
      </c>
      <c r="E36" s="29" t="s">
        <v>32</v>
      </c>
      <c r="G36" s="34">
        <f>C36*C37*C38</f>
        <v>6</v>
      </c>
      <c r="H36" s="35" t="s">
        <v>8</v>
      </c>
    </row>
    <row r="37" spans="3:5" ht="12.75">
      <c r="C37">
        <v>1</v>
      </c>
      <c r="D37" s="29" t="s">
        <v>17</v>
      </c>
      <c r="E37" s="29" t="s">
        <v>33</v>
      </c>
    </row>
    <row r="38" spans="3:4" ht="12.75">
      <c r="C38">
        <v>6</v>
      </c>
      <c r="D38" s="29" t="s">
        <v>31</v>
      </c>
    </row>
    <row r="41" spans="2:3" ht="12.75">
      <c r="B41" s="29" t="s">
        <v>51</v>
      </c>
      <c r="C41" s="29" t="s">
        <v>56</v>
      </c>
    </row>
    <row r="43" spans="3:8" ht="12.75">
      <c r="C43">
        <v>1</v>
      </c>
      <c r="D43" s="29" t="s">
        <v>17</v>
      </c>
      <c r="E43" s="29" t="s">
        <v>32</v>
      </c>
      <c r="G43" s="34">
        <f>4*C45*C46</f>
        <v>1.44</v>
      </c>
      <c r="H43" s="35" t="s">
        <v>8</v>
      </c>
    </row>
    <row r="44" spans="3:5" ht="12.75">
      <c r="C44">
        <v>1</v>
      </c>
      <c r="D44" s="29" t="s">
        <v>17</v>
      </c>
      <c r="E44" s="29" t="s">
        <v>33</v>
      </c>
    </row>
    <row r="45" spans="3:4" ht="12.75">
      <c r="C45">
        <v>6</v>
      </c>
      <c r="D45" s="29" t="s">
        <v>31</v>
      </c>
    </row>
    <row r="46" spans="3:4" ht="12.75">
      <c r="C46">
        <v>0.06</v>
      </c>
      <c r="D46" s="29" t="s">
        <v>58</v>
      </c>
    </row>
    <row r="49" spans="2:3" ht="12.75">
      <c r="B49" s="29" t="s">
        <v>61</v>
      </c>
      <c r="C49" s="29" t="s">
        <v>59</v>
      </c>
    </row>
    <row r="51" spans="3:8" ht="12.75">
      <c r="C51">
        <v>1</v>
      </c>
      <c r="D51" s="29" t="s">
        <v>17</v>
      </c>
      <c r="E51" s="29" t="s">
        <v>32</v>
      </c>
      <c r="G51" s="34">
        <f>C51*C52*C53</f>
        <v>6</v>
      </c>
      <c r="H51" s="35" t="s">
        <v>8</v>
      </c>
    </row>
    <row r="52" spans="3:5" ht="12.75">
      <c r="C52">
        <v>1</v>
      </c>
      <c r="D52" s="29" t="s">
        <v>17</v>
      </c>
      <c r="E52" s="29" t="s">
        <v>33</v>
      </c>
    </row>
    <row r="53" spans="3:4" ht="12.75">
      <c r="C53">
        <v>6</v>
      </c>
      <c r="D53" s="29" t="s">
        <v>31</v>
      </c>
    </row>
    <row r="56" spans="1:16" ht="12.75">
      <c r="A56" s="118"/>
      <c r="B56" s="119" t="s">
        <v>73</v>
      </c>
      <c r="C56" s="121" t="s">
        <v>62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</row>
    <row r="57" spans="2:3" ht="12.75">
      <c r="B57" s="29" t="s">
        <v>76</v>
      </c>
      <c r="C57" s="46" t="s">
        <v>109</v>
      </c>
    </row>
    <row r="58" spans="2:3" ht="12.75">
      <c r="B58" s="29" t="s">
        <v>111</v>
      </c>
      <c r="C58" s="29" t="s">
        <v>66</v>
      </c>
    </row>
    <row r="59" spans="3:9" ht="12.75">
      <c r="C59" s="29">
        <v>16.83</v>
      </c>
      <c r="D59" s="29" t="s">
        <v>8</v>
      </c>
      <c r="E59" s="29" t="s">
        <v>74</v>
      </c>
      <c r="H59" s="34">
        <f>C59+C60</f>
        <v>33.66</v>
      </c>
      <c r="I59" s="35" t="s">
        <v>8</v>
      </c>
    </row>
    <row r="60" spans="3:5" ht="12.75">
      <c r="C60" s="29">
        <v>16.83</v>
      </c>
      <c r="D60" s="29" t="s">
        <v>8</v>
      </c>
      <c r="E60" s="29" t="s">
        <v>75</v>
      </c>
    </row>
    <row r="61" ht="12.75">
      <c r="C61" s="29"/>
    </row>
    <row r="62" spans="2:3" ht="12.75">
      <c r="B62" s="29" t="s">
        <v>112</v>
      </c>
      <c r="C62" s="29" t="s">
        <v>71</v>
      </c>
    </row>
    <row r="63" spans="3:9" ht="12.75">
      <c r="C63" s="29">
        <v>2.6</v>
      </c>
      <c r="D63">
        <v>0.6</v>
      </c>
      <c r="E63">
        <v>2</v>
      </c>
      <c r="F63" s="29" t="s">
        <v>4</v>
      </c>
      <c r="H63" s="34">
        <f>C63*D63*E63</f>
        <v>3.12</v>
      </c>
      <c r="I63" s="35" t="s">
        <v>8</v>
      </c>
    </row>
    <row r="64" ht="12.75">
      <c r="C64" s="29"/>
    </row>
    <row r="65" spans="2:3" ht="12.75">
      <c r="B65" s="29" t="s">
        <v>113</v>
      </c>
      <c r="C65" s="29" t="s">
        <v>63</v>
      </c>
    </row>
    <row r="66" spans="3:9" ht="12.75">
      <c r="C66" s="29">
        <v>16.83</v>
      </c>
      <c r="D66" s="29" t="s">
        <v>8</v>
      </c>
      <c r="E66" s="29" t="s">
        <v>74</v>
      </c>
      <c r="H66" s="34">
        <f>C66+C67</f>
        <v>33.66</v>
      </c>
      <c r="I66" s="35" t="s">
        <v>8</v>
      </c>
    </row>
    <row r="67" spans="3:5" ht="12.75">
      <c r="C67" s="29">
        <v>16.83</v>
      </c>
      <c r="D67" s="29" t="s">
        <v>8</v>
      </c>
      <c r="E67" s="29" t="s">
        <v>75</v>
      </c>
    </row>
    <row r="68" ht="12.75">
      <c r="C68" s="40"/>
    </row>
    <row r="69" ht="12.75">
      <c r="C69" s="40"/>
    </row>
    <row r="70" spans="2:3" ht="12.75">
      <c r="B70" s="29" t="s">
        <v>114</v>
      </c>
      <c r="C70" s="29" t="s">
        <v>67</v>
      </c>
    </row>
    <row r="71" spans="3:4" ht="12.75">
      <c r="C71" s="35">
        <v>57.34</v>
      </c>
      <c r="D71" s="35" t="s">
        <v>8</v>
      </c>
    </row>
    <row r="72" ht="12.75">
      <c r="C72" s="29"/>
    </row>
    <row r="73" spans="2:3" ht="12.75">
      <c r="B73" s="29" t="s">
        <v>115</v>
      </c>
      <c r="C73" s="29" t="s">
        <v>69</v>
      </c>
    </row>
    <row r="74" spans="3:4" ht="12.75">
      <c r="C74" s="35">
        <v>57.34</v>
      </c>
      <c r="D74" s="35" t="s">
        <v>8</v>
      </c>
    </row>
    <row r="75" spans="3:4" ht="12.75">
      <c r="C75" s="29"/>
      <c r="D75" s="29"/>
    </row>
    <row r="76" spans="3:4" ht="12.75">
      <c r="C76" s="29"/>
      <c r="D76" s="29"/>
    </row>
    <row r="77" spans="2:4" ht="12.75">
      <c r="B77" s="29" t="s">
        <v>77</v>
      </c>
      <c r="C77" s="29" t="s">
        <v>119</v>
      </c>
      <c r="D77" s="29"/>
    </row>
    <row r="78" spans="2:4" ht="12.75">
      <c r="B78" s="29" t="s">
        <v>121</v>
      </c>
      <c r="C78" s="11" t="s">
        <v>118</v>
      </c>
      <c r="D78" s="29"/>
    </row>
    <row r="79" spans="3:4" ht="12.75">
      <c r="C79" s="11"/>
      <c r="D79" s="29"/>
    </row>
    <row r="80" spans="3:4" ht="12.75">
      <c r="C80" s="11"/>
      <c r="D80" s="29"/>
    </row>
    <row r="81" spans="2:4" ht="12.75">
      <c r="B81" s="29" t="s">
        <v>122</v>
      </c>
      <c r="C81" s="110" t="s">
        <v>85</v>
      </c>
      <c r="D81" s="29"/>
    </row>
    <row r="82" spans="3:10" ht="12.75">
      <c r="C82" s="29">
        <v>1.65</v>
      </c>
      <c r="D82" s="29" t="s">
        <v>17</v>
      </c>
      <c r="F82">
        <v>2.3</v>
      </c>
      <c r="G82" s="29" t="s">
        <v>120</v>
      </c>
      <c r="I82">
        <f>(C82+C83)*F82*F83</f>
        <v>0.8624999999999999</v>
      </c>
      <c r="J82" s="30" t="s">
        <v>7</v>
      </c>
    </row>
    <row r="83" spans="3:10" ht="12.75">
      <c r="C83" s="29">
        <v>0.85</v>
      </c>
      <c r="D83" s="29" t="s">
        <v>17</v>
      </c>
      <c r="F83">
        <v>0.15</v>
      </c>
      <c r="G83" s="29" t="s">
        <v>88</v>
      </c>
      <c r="I83">
        <f>F84*G84*H84</f>
        <v>0.3360000000000001</v>
      </c>
      <c r="J83" s="30" t="s">
        <v>7</v>
      </c>
    </row>
    <row r="84" spans="3:11" ht="12.75">
      <c r="C84" s="30" t="s">
        <v>269</v>
      </c>
      <c r="D84" s="30"/>
      <c r="F84">
        <v>0.8</v>
      </c>
      <c r="G84" s="30">
        <v>2.1</v>
      </c>
      <c r="H84">
        <v>0.2</v>
      </c>
      <c r="I84" s="35" t="s">
        <v>5</v>
      </c>
      <c r="J84" s="34">
        <f>I82+I83</f>
        <v>1.1985000000000001</v>
      </c>
      <c r="K84" s="35" t="s">
        <v>7</v>
      </c>
    </row>
    <row r="85" spans="3:4" ht="12.75">
      <c r="C85" s="29"/>
      <c r="D85" s="29"/>
    </row>
    <row r="86" spans="2:4" ht="12.75">
      <c r="B86" s="29" t="s">
        <v>123</v>
      </c>
      <c r="C86" s="53" t="s">
        <v>25</v>
      </c>
      <c r="D86" s="29"/>
    </row>
    <row r="87" spans="3:10" ht="12.75">
      <c r="C87" s="29">
        <v>2.25</v>
      </c>
      <c r="D87" s="29" t="s">
        <v>17</v>
      </c>
      <c r="I87" s="34">
        <f>C87*C88*C89</f>
        <v>0.43875000000000003</v>
      </c>
      <c r="J87" s="35" t="s">
        <v>7</v>
      </c>
    </row>
    <row r="88" spans="3:4" ht="12.75">
      <c r="C88" s="29">
        <v>1.95</v>
      </c>
      <c r="D88" s="29" t="s">
        <v>17</v>
      </c>
    </row>
    <row r="89" spans="3:4" ht="12.75">
      <c r="C89" s="29">
        <v>0.1</v>
      </c>
      <c r="D89" s="29" t="s">
        <v>88</v>
      </c>
    </row>
    <row r="90" spans="3:4" ht="12.75">
      <c r="C90" s="29"/>
      <c r="D90" s="29"/>
    </row>
    <row r="91" spans="3:4" ht="12.75">
      <c r="C91" s="29" t="s">
        <v>124</v>
      </c>
      <c r="D91" s="29"/>
    </row>
    <row r="92" spans="3:7" ht="12.75">
      <c r="C92" s="29">
        <v>1.95</v>
      </c>
      <c r="D92" s="29" t="s">
        <v>17</v>
      </c>
      <c r="F92" s="34">
        <f>C92*C93</f>
        <v>3.2175</v>
      </c>
      <c r="G92" s="35" t="s">
        <v>8</v>
      </c>
    </row>
    <row r="93" spans="3:4" ht="12.75">
      <c r="C93" s="29">
        <v>1.65</v>
      </c>
      <c r="D93" s="29" t="s">
        <v>17</v>
      </c>
    </row>
    <row r="94" spans="3:4" ht="12.75">
      <c r="C94" s="29"/>
      <c r="D94" s="29"/>
    </row>
    <row r="95" spans="3:4" ht="12.75">
      <c r="C95" s="47" t="s">
        <v>126</v>
      </c>
      <c r="D95" s="29"/>
    </row>
    <row r="96" spans="3:9" ht="12.75">
      <c r="C96" s="29">
        <v>1.65</v>
      </c>
      <c r="D96" s="29" t="s">
        <v>17</v>
      </c>
      <c r="F96">
        <f>C96*C97</f>
        <v>6.6</v>
      </c>
      <c r="H96" s="34">
        <f>F96+F98</f>
        <v>10.5</v>
      </c>
      <c r="I96" s="35" t="s">
        <v>17</v>
      </c>
    </row>
    <row r="97" spans="3:4" ht="12.75">
      <c r="C97" s="29">
        <v>4</v>
      </c>
      <c r="D97" s="29" t="s">
        <v>128</v>
      </c>
    </row>
    <row r="98" spans="3:6" ht="12.75">
      <c r="C98" s="29">
        <v>1.95</v>
      </c>
      <c r="D98" s="29" t="s">
        <v>17</v>
      </c>
      <c r="F98">
        <f>C98*C99</f>
        <v>3.9</v>
      </c>
    </row>
    <row r="99" spans="3:4" ht="12.75">
      <c r="C99">
        <v>2</v>
      </c>
      <c r="D99" s="29" t="s">
        <v>128</v>
      </c>
    </row>
    <row r="101" spans="1:16" ht="12.75">
      <c r="A101" s="118"/>
      <c r="B101" s="118">
        <v>4</v>
      </c>
      <c r="C101" s="121" t="s">
        <v>80</v>
      </c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</row>
    <row r="102" spans="2:12" ht="44.25" customHeight="1">
      <c r="B102" s="29" t="s">
        <v>81</v>
      </c>
      <c r="C102" s="151" t="s">
        <v>78</v>
      </c>
      <c r="D102" s="151"/>
      <c r="E102" s="151"/>
      <c r="F102" s="151"/>
      <c r="G102" s="151"/>
      <c r="H102" s="151"/>
      <c r="I102" s="151"/>
      <c r="J102" s="151"/>
      <c r="K102" s="151"/>
      <c r="L102" s="151"/>
    </row>
    <row r="103" spans="3:13" ht="12.75">
      <c r="C103" s="30">
        <v>57.34</v>
      </c>
      <c r="D103" s="30" t="s">
        <v>8</v>
      </c>
      <c r="I103" s="29" t="s">
        <v>134</v>
      </c>
      <c r="L103" s="34">
        <v>60.52</v>
      </c>
      <c r="M103" s="35" t="s">
        <v>8</v>
      </c>
    </row>
    <row r="106" spans="2:3" ht="12.75">
      <c r="B106" s="29" t="s">
        <v>84</v>
      </c>
      <c r="C106" s="29" t="s">
        <v>82</v>
      </c>
    </row>
    <row r="107" spans="3:14" ht="12.75">
      <c r="C107" s="30">
        <v>57.34</v>
      </c>
      <c r="D107" s="30" t="s">
        <v>8</v>
      </c>
      <c r="J107" s="29" t="s">
        <v>134</v>
      </c>
      <c r="M107" s="34">
        <v>60.52</v>
      </c>
      <c r="N107" s="35" t="s">
        <v>8</v>
      </c>
    </row>
    <row r="109" spans="2:3" ht="12.75">
      <c r="B109" s="29" t="s">
        <v>92</v>
      </c>
      <c r="C109" t="s">
        <v>89</v>
      </c>
    </row>
    <row r="110" spans="3:14" ht="12.75">
      <c r="C110">
        <v>12.2</v>
      </c>
      <c r="D110" t="s">
        <v>17</v>
      </c>
      <c r="J110" s="29" t="s">
        <v>134</v>
      </c>
      <c r="M110" s="34">
        <v>13.45</v>
      </c>
      <c r="N110" s="35" t="s">
        <v>17</v>
      </c>
    </row>
    <row r="112" spans="2:3" ht="12.75">
      <c r="B112" s="29" t="s">
        <v>93</v>
      </c>
      <c r="C112" s="47" t="s">
        <v>85</v>
      </c>
    </row>
    <row r="114" spans="3:12" ht="12.75">
      <c r="C114">
        <v>0.93</v>
      </c>
      <c r="D114" t="s">
        <v>8</v>
      </c>
      <c r="E114">
        <v>2</v>
      </c>
      <c r="F114" t="s">
        <v>87</v>
      </c>
      <c r="H114">
        <v>0.2</v>
      </c>
      <c r="I114" t="s">
        <v>88</v>
      </c>
      <c r="K114" s="34">
        <f>C114*E114*H114</f>
        <v>0.37200000000000005</v>
      </c>
      <c r="L114" s="34" t="s">
        <v>7</v>
      </c>
    </row>
    <row r="116" spans="2:3" ht="12.75">
      <c r="B116" s="29" t="s">
        <v>101</v>
      </c>
      <c r="C116" s="29" t="s">
        <v>99</v>
      </c>
    </row>
    <row r="117" spans="3:18" ht="12.75">
      <c r="C117">
        <f>H66</f>
        <v>33.66</v>
      </c>
      <c r="D117" s="30" t="s">
        <v>8</v>
      </c>
      <c r="I117" s="29" t="s">
        <v>110</v>
      </c>
      <c r="K117">
        <v>1.5</v>
      </c>
      <c r="L117">
        <f>K117*K118</f>
        <v>5.625</v>
      </c>
      <c r="M117" s="29" t="s">
        <v>8</v>
      </c>
      <c r="N117" s="29" t="s">
        <v>134</v>
      </c>
      <c r="Q117" s="34">
        <f>L117+C117</f>
        <v>39.285</v>
      </c>
      <c r="R117" s="35" t="s">
        <v>8</v>
      </c>
    </row>
    <row r="118" ht="12.75">
      <c r="K118">
        <v>3.75</v>
      </c>
    </row>
    <row r="119" spans="2:3" ht="12.75">
      <c r="B119">
        <v>5</v>
      </c>
      <c r="C119" s="43" t="s">
        <v>91</v>
      </c>
    </row>
    <row r="121" spans="2:3" ht="12.75">
      <c r="B121" t="s">
        <v>96</v>
      </c>
      <c r="C121" t="s">
        <v>94</v>
      </c>
    </row>
    <row r="122" spans="3:4" ht="12.75">
      <c r="C122" s="34">
        <f>H63</f>
        <v>3.12</v>
      </c>
      <c r="D122" s="35" t="s">
        <v>8</v>
      </c>
    </row>
    <row r="125" spans="1:16" ht="12.75">
      <c r="A125" s="118"/>
      <c r="B125" s="120">
        <v>6</v>
      </c>
      <c r="C125" s="120" t="s">
        <v>102</v>
      </c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</row>
    <row r="126" spans="2:3" ht="12.75">
      <c r="B126" s="29" t="s">
        <v>106</v>
      </c>
      <c r="C126" s="29" t="s">
        <v>103</v>
      </c>
    </row>
    <row r="127" spans="2:13" ht="28.5" customHeight="1">
      <c r="B127" s="29" t="s">
        <v>107</v>
      </c>
      <c r="C127" s="152" t="s">
        <v>105</v>
      </c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</row>
    <row r="129" spans="2:9" ht="12.75">
      <c r="B129" s="29"/>
      <c r="C129" s="29">
        <v>16.83</v>
      </c>
      <c r="D129" s="29" t="s">
        <v>8</v>
      </c>
      <c r="E129" s="29" t="s">
        <v>74</v>
      </c>
      <c r="H129" s="34">
        <f>C129+C130</f>
        <v>33.66</v>
      </c>
      <c r="I129" s="35" t="s">
        <v>8</v>
      </c>
    </row>
    <row r="130" spans="2:5" ht="12.75">
      <c r="B130" s="29"/>
      <c r="C130" s="29">
        <v>16.83</v>
      </c>
      <c r="D130" s="29" t="s">
        <v>8</v>
      </c>
      <c r="E130" s="29" t="s">
        <v>75</v>
      </c>
    </row>
    <row r="133" spans="1:16" ht="12.75">
      <c r="A133" s="118" t="s">
        <v>198</v>
      </c>
      <c r="B133" s="119" t="s">
        <v>110</v>
      </c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</row>
    <row r="134" spans="1:14" ht="12.75">
      <c r="A134" t="s">
        <v>135</v>
      </c>
      <c r="B134" s="29" t="s">
        <v>136</v>
      </c>
      <c r="J134" s="29" t="s">
        <v>172</v>
      </c>
      <c r="M134">
        <f>1.65+3.9+4.15+3.75</f>
        <v>13.45</v>
      </c>
      <c r="N134" s="29" t="s">
        <v>17</v>
      </c>
    </row>
    <row r="135" spans="1:2" ht="12.75">
      <c r="A135" t="s">
        <v>178</v>
      </c>
      <c r="B135" s="29" t="s">
        <v>137</v>
      </c>
    </row>
    <row r="136" spans="2:8" ht="12.75">
      <c r="B136" s="29">
        <v>8</v>
      </c>
      <c r="C136" s="29" t="s">
        <v>128</v>
      </c>
      <c r="G136" s="34">
        <f>B136*B137</f>
        <v>48</v>
      </c>
      <c r="H136" s="35" t="s">
        <v>17</v>
      </c>
    </row>
    <row r="137" spans="2:3" ht="12.75">
      <c r="B137" s="29">
        <v>6</v>
      </c>
      <c r="C137" s="29" t="s">
        <v>17</v>
      </c>
    </row>
    <row r="138" ht="12.75">
      <c r="B138" s="29"/>
    </row>
    <row r="139" ht="12.75">
      <c r="B139" s="29"/>
    </row>
    <row r="140" spans="1:2" ht="12.75">
      <c r="A140" t="s">
        <v>179</v>
      </c>
      <c r="B140" s="29" t="s">
        <v>37</v>
      </c>
    </row>
    <row r="141" spans="2:6" ht="12.75">
      <c r="B141" s="29">
        <v>0.3</v>
      </c>
      <c r="C141" s="29" t="s">
        <v>17</v>
      </c>
      <c r="E141" s="34">
        <f>B141*B142*B143</f>
        <v>0.8069999999999999</v>
      </c>
      <c r="F141" s="35" t="s">
        <v>7</v>
      </c>
    </row>
    <row r="142" spans="2:3" ht="12.75">
      <c r="B142" s="29">
        <v>0.2</v>
      </c>
      <c r="C142" s="29" t="s">
        <v>17</v>
      </c>
    </row>
    <row r="143" spans="2:3" ht="12.75">
      <c r="B143" s="29">
        <f>M134</f>
        <v>13.45</v>
      </c>
      <c r="C143" s="29" t="s">
        <v>17</v>
      </c>
    </row>
    <row r="144" ht="12.75">
      <c r="B144" s="29"/>
    </row>
    <row r="145" spans="1:2" ht="12.75">
      <c r="A145" t="s">
        <v>180</v>
      </c>
      <c r="B145" s="29" t="s">
        <v>52</v>
      </c>
    </row>
    <row r="146" spans="2:6" ht="12.75">
      <c r="B146" s="29">
        <v>0.3</v>
      </c>
      <c r="C146" s="29" t="s">
        <v>17</v>
      </c>
      <c r="E146" s="34">
        <f>B146*B147*B148</f>
        <v>0.40349999999999997</v>
      </c>
      <c r="F146" s="35" t="s">
        <v>7</v>
      </c>
    </row>
    <row r="147" spans="2:3" ht="12.75">
      <c r="B147" s="29">
        <v>0.1</v>
      </c>
      <c r="C147" s="29" t="s">
        <v>17</v>
      </c>
    </row>
    <row r="148" spans="2:3" ht="12.75">
      <c r="B148" s="29">
        <f>M134</f>
        <v>13.45</v>
      </c>
      <c r="C148" s="29" t="s">
        <v>17</v>
      </c>
    </row>
    <row r="149" ht="12.75">
      <c r="B149" s="29"/>
    </row>
    <row r="150" spans="1:2" ht="12.75">
      <c r="A150" t="s">
        <v>181</v>
      </c>
      <c r="B150" s="29" t="s">
        <v>54</v>
      </c>
    </row>
    <row r="151" spans="2:6" ht="12.75">
      <c r="B151" s="29">
        <v>0.2</v>
      </c>
      <c r="C151" s="29" t="s">
        <v>17</v>
      </c>
      <c r="E151" s="34">
        <f>B151*B152</f>
        <v>2.69</v>
      </c>
      <c r="F151" s="35" t="s">
        <v>8</v>
      </c>
    </row>
    <row r="152" spans="2:3" ht="12.75">
      <c r="B152" s="29">
        <f>M134</f>
        <v>13.45</v>
      </c>
      <c r="C152" s="29" t="s">
        <v>17</v>
      </c>
    </row>
    <row r="153" ht="12.75">
      <c r="B153" s="29"/>
    </row>
    <row r="154" ht="12.75">
      <c r="B154" s="29"/>
    </row>
    <row r="155" spans="1:2" ht="12.75">
      <c r="A155" t="s">
        <v>182</v>
      </c>
      <c r="B155" s="29" t="s">
        <v>56</v>
      </c>
    </row>
    <row r="156" spans="2:6" ht="12.75">
      <c r="B156" s="29">
        <v>0.3</v>
      </c>
      <c r="C156" s="29" t="s">
        <v>17</v>
      </c>
      <c r="E156" s="34">
        <f>B156*B157*B158</f>
        <v>8.069999999999999</v>
      </c>
      <c r="F156" s="35" t="s">
        <v>8</v>
      </c>
    </row>
    <row r="157" spans="2:3" ht="12.75">
      <c r="B157" s="29">
        <v>2</v>
      </c>
      <c r="C157" s="29" t="s">
        <v>4</v>
      </c>
    </row>
    <row r="158" ht="12.75">
      <c r="B158" s="29">
        <f>M134</f>
        <v>13.45</v>
      </c>
    </row>
    <row r="159" ht="12.75">
      <c r="B159" s="29"/>
    </row>
    <row r="160" spans="1:2" ht="12.75">
      <c r="A160" t="s">
        <v>183</v>
      </c>
      <c r="B160" s="29" t="s">
        <v>143</v>
      </c>
    </row>
    <row r="161" spans="2:6" ht="12.75">
      <c r="B161" s="29">
        <v>0.3</v>
      </c>
      <c r="C161" s="29" t="s">
        <v>17</v>
      </c>
      <c r="E161" s="34">
        <f>B161*B162*B163</f>
        <v>0.8069999999999999</v>
      </c>
      <c r="F161" s="35" t="s">
        <v>7</v>
      </c>
    </row>
    <row r="162" spans="2:3" ht="12.75">
      <c r="B162" s="29">
        <v>0.2</v>
      </c>
      <c r="C162" s="29" t="s">
        <v>17</v>
      </c>
    </row>
    <row r="163" spans="2:3" ht="12.75">
      <c r="B163" s="29">
        <f>M134</f>
        <v>13.45</v>
      </c>
      <c r="C163" s="29" t="s">
        <v>17</v>
      </c>
    </row>
    <row r="164" ht="12.75">
      <c r="B164" s="29"/>
    </row>
    <row r="165" spans="1:2" ht="12.75">
      <c r="A165" t="s">
        <v>184</v>
      </c>
      <c r="B165" s="29" t="s">
        <v>139</v>
      </c>
    </row>
    <row r="166" spans="2:6" ht="12.75">
      <c r="B166">
        <f>E161</f>
        <v>0.8069999999999999</v>
      </c>
      <c r="C166" s="29" t="s">
        <v>7</v>
      </c>
      <c r="E166" s="34">
        <f>B167*B166</f>
        <v>56.489999999999995</v>
      </c>
      <c r="F166" s="35" t="s">
        <v>6</v>
      </c>
    </row>
    <row r="167" ht="12.75">
      <c r="B167">
        <v>70</v>
      </c>
    </row>
    <row r="170" spans="1:2" ht="12.75">
      <c r="A170" t="s">
        <v>146</v>
      </c>
      <c r="B170" s="29" t="s">
        <v>145</v>
      </c>
    </row>
    <row r="171" spans="1:15" ht="12.75">
      <c r="A171" t="s">
        <v>185</v>
      </c>
      <c r="B171" s="29" t="s">
        <v>56</v>
      </c>
      <c r="H171" s="29" t="s">
        <v>173</v>
      </c>
      <c r="I171">
        <v>2.4</v>
      </c>
      <c r="J171">
        <v>0.15</v>
      </c>
      <c r="K171">
        <v>0.2</v>
      </c>
      <c r="L171">
        <v>2</v>
      </c>
      <c r="N171">
        <f>(I171*L171)+(I172*L172)+(I173*L173)</f>
        <v>15.799999999999999</v>
      </c>
      <c r="O171" s="29" t="s">
        <v>17</v>
      </c>
    </row>
    <row r="172" spans="2:12" ht="12.75">
      <c r="B172" s="29">
        <f>N171</f>
        <v>15.799999999999999</v>
      </c>
      <c r="C172" s="29" t="s">
        <v>17</v>
      </c>
      <c r="E172" s="34">
        <f>B172*B173</f>
        <v>11.059999999999999</v>
      </c>
      <c r="F172" s="35" t="s">
        <v>8</v>
      </c>
      <c r="H172" s="29" t="s">
        <v>173</v>
      </c>
      <c r="I172">
        <v>2.6</v>
      </c>
      <c r="J172">
        <v>0.15</v>
      </c>
      <c r="K172">
        <v>0.2</v>
      </c>
      <c r="L172">
        <v>1</v>
      </c>
    </row>
    <row r="173" spans="2:12" ht="12.75">
      <c r="B173" s="29">
        <f>J171+J171+K171+K171</f>
        <v>0.7</v>
      </c>
      <c r="C173" s="29" t="s">
        <v>17</v>
      </c>
      <c r="H173" s="29" t="s">
        <v>173</v>
      </c>
      <c r="I173">
        <v>2.8</v>
      </c>
      <c r="J173">
        <v>0.15</v>
      </c>
      <c r="K173">
        <v>0.2</v>
      </c>
      <c r="L173">
        <v>3</v>
      </c>
    </row>
    <row r="174" ht="12.75">
      <c r="B174" s="29"/>
    </row>
    <row r="175" ht="12.75">
      <c r="B175" s="29"/>
    </row>
    <row r="176" spans="1:2" ht="12.75">
      <c r="A176" t="s">
        <v>186</v>
      </c>
      <c r="B176" s="29" t="s">
        <v>143</v>
      </c>
    </row>
    <row r="177" spans="2:11" ht="12.75">
      <c r="B177" s="29" t="s">
        <v>173</v>
      </c>
      <c r="C177">
        <v>2.4</v>
      </c>
      <c r="D177">
        <v>0.15</v>
      </c>
      <c r="E177">
        <v>0.2</v>
      </c>
      <c r="F177">
        <v>2</v>
      </c>
      <c r="H177">
        <f>C177*D177*E177*F177</f>
        <v>0.144</v>
      </c>
      <c r="J177" s="34">
        <f>H177+H178+H179</f>
        <v>0.474</v>
      </c>
      <c r="K177" s="35" t="s">
        <v>7</v>
      </c>
    </row>
    <row r="178" spans="2:8" ht="12.75">
      <c r="B178" s="29" t="s">
        <v>173</v>
      </c>
      <c r="C178">
        <v>2.6</v>
      </c>
      <c r="D178">
        <v>0.15</v>
      </c>
      <c r="E178">
        <v>0.2</v>
      </c>
      <c r="F178">
        <v>1</v>
      </c>
      <c r="H178">
        <f>C178*D178*E178*F178</f>
        <v>0.07800000000000001</v>
      </c>
    </row>
    <row r="179" spans="2:8" ht="12.75">
      <c r="B179" s="29" t="s">
        <v>173</v>
      </c>
      <c r="C179">
        <v>2.8</v>
      </c>
      <c r="D179">
        <v>0.15</v>
      </c>
      <c r="E179">
        <v>0.2</v>
      </c>
      <c r="F179">
        <v>3</v>
      </c>
      <c r="H179">
        <f>C179*D179*E179*F179</f>
        <v>0.252</v>
      </c>
    </row>
    <row r="180" ht="12.75">
      <c r="B180" s="29"/>
    </row>
    <row r="181" spans="1:2" ht="12.75">
      <c r="A181" t="s">
        <v>187</v>
      </c>
      <c r="B181" s="29" t="s">
        <v>139</v>
      </c>
    </row>
    <row r="182" spans="2:6" ht="12.75">
      <c r="B182">
        <f>J177</f>
        <v>0.474</v>
      </c>
      <c r="C182" s="29"/>
      <c r="E182" s="34">
        <f>B182*B183</f>
        <v>42.66</v>
      </c>
      <c r="F182" s="35" t="s">
        <v>6</v>
      </c>
    </row>
    <row r="183" ht="12.75">
      <c r="B183">
        <v>90</v>
      </c>
    </row>
    <row r="185" spans="1:2" ht="12.75">
      <c r="A185" t="s">
        <v>199</v>
      </c>
      <c r="B185" t="s">
        <v>200</v>
      </c>
    </row>
    <row r="186" spans="2:6" ht="12.75">
      <c r="B186" s="30" t="s">
        <v>172</v>
      </c>
      <c r="E186" s="34">
        <f>1.65+3.9+4.15+3.75</f>
        <v>13.45</v>
      </c>
      <c r="F186" s="35" t="s">
        <v>17</v>
      </c>
    </row>
    <row r="189" spans="1:2" ht="12.75">
      <c r="A189" t="s">
        <v>155</v>
      </c>
      <c r="B189" s="29" t="s">
        <v>174</v>
      </c>
    </row>
    <row r="191" spans="1:2" ht="12.75">
      <c r="A191" t="s">
        <v>188</v>
      </c>
      <c r="B191" s="29" t="s">
        <v>147</v>
      </c>
    </row>
    <row r="192" spans="2:13" ht="12.75">
      <c r="B192" s="29">
        <v>4.15</v>
      </c>
      <c r="C192">
        <v>2.8</v>
      </c>
      <c r="E192">
        <f>B192*C192</f>
        <v>11.620000000000001</v>
      </c>
      <c r="F192" s="29" t="s">
        <v>8</v>
      </c>
      <c r="G192">
        <f>E192+E193+E194</f>
        <v>31.900000000000002</v>
      </c>
      <c r="H192" s="29" t="s">
        <v>8</v>
      </c>
      <c r="J192" s="29" t="s">
        <v>175</v>
      </c>
      <c r="L192">
        <f>J193+J194+J195</f>
        <v>5.88</v>
      </c>
      <c r="M192" s="29" t="s">
        <v>8</v>
      </c>
    </row>
    <row r="193" spans="2:11" ht="12.75">
      <c r="B193" s="29">
        <v>3.9</v>
      </c>
      <c r="C193">
        <v>2.6</v>
      </c>
      <c r="E193">
        <f>B193*C193</f>
        <v>10.14</v>
      </c>
      <c r="F193" s="29" t="s">
        <v>8</v>
      </c>
      <c r="J193">
        <f>2.1*0.8</f>
        <v>1.6800000000000002</v>
      </c>
      <c r="K193" s="29" t="s">
        <v>176</v>
      </c>
    </row>
    <row r="194" spans="2:11" ht="12.75">
      <c r="B194" s="29">
        <v>3.9</v>
      </c>
      <c r="C194">
        <v>2.6</v>
      </c>
      <c r="E194">
        <f>B194*C194</f>
        <v>10.14</v>
      </c>
      <c r="F194" s="29" t="s">
        <v>8</v>
      </c>
      <c r="J194" s="29">
        <f>2*0.6</f>
        <v>1.2</v>
      </c>
      <c r="K194" s="29" t="s">
        <v>177</v>
      </c>
    </row>
    <row r="195" spans="2:11" ht="12.75">
      <c r="B195" s="29"/>
      <c r="G195" s="34">
        <f>G192-L192</f>
        <v>26.020000000000003</v>
      </c>
      <c r="H195" s="35" t="s">
        <v>8</v>
      </c>
      <c r="J195">
        <f>2*1.5</f>
        <v>3</v>
      </c>
      <c r="K195" s="29" t="s">
        <v>177</v>
      </c>
    </row>
    <row r="196" spans="1:2" ht="12.75">
      <c r="A196" t="s">
        <v>189</v>
      </c>
      <c r="B196" s="29" t="s">
        <v>149</v>
      </c>
    </row>
    <row r="197" spans="2:3" ht="12.75">
      <c r="B197" s="35">
        <f>G195*2</f>
        <v>52.040000000000006</v>
      </c>
      <c r="C197" s="35" t="s">
        <v>8</v>
      </c>
    </row>
    <row r="198" ht="12.75">
      <c r="B198" s="29"/>
    </row>
    <row r="199" spans="1:2" ht="12.75">
      <c r="A199" t="s">
        <v>190</v>
      </c>
      <c r="B199" s="29" t="s">
        <v>151</v>
      </c>
    </row>
    <row r="200" spans="2:3" ht="12.75">
      <c r="B200" s="35">
        <f>G195*2</f>
        <v>52.040000000000006</v>
      </c>
      <c r="C200" s="35" t="s">
        <v>8</v>
      </c>
    </row>
    <row r="201" ht="12.75">
      <c r="B201" s="29"/>
    </row>
    <row r="202" spans="1:2" ht="12.75">
      <c r="A202" t="s">
        <v>191</v>
      </c>
      <c r="B202" s="29" t="s">
        <v>153</v>
      </c>
    </row>
    <row r="203" spans="2:3" ht="12.75">
      <c r="B203" s="35">
        <f>B200-E206</f>
        <v>48.800000000000004</v>
      </c>
      <c r="C203" s="35" t="s">
        <v>8</v>
      </c>
    </row>
    <row r="204" ht="12.75">
      <c r="B204" s="29"/>
    </row>
    <row r="205" spans="1:2" ht="12.75">
      <c r="A205" t="s">
        <v>192</v>
      </c>
      <c r="B205" s="29" t="s">
        <v>170</v>
      </c>
    </row>
    <row r="206" spans="2:6" ht="12.75">
      <c r="B206">
        <v>1.35</v>
      </c>
      <c r="C206" s="29" t="s">
        <v>17</v>
      </c>
      <c r="E206" s="34">
        <f>B206*B207</f>
        <v>3.24</v>
      </c>
      <c r="F206" s="35" t="s">
        <v>8</v>
      </c>
    </row>
    <row r="207" spans="2:3" ht="12.75">
      <c r="B207">
        <v>2.4</v>
      </c>
      <c r="C207" s="29" t="s">
        <v>120</v>
      </c>
    </row>
    <row r="209" spans="1:2" ht="12.75">
      <c r="A209" t="s">
        <v>163</v>
      </c>
      <c r="B209" t="s">
        <v>164</v>
      </c>
    </row>
    <row r="218" spans="1:2" ht="12.75">
      <c r="A218" t="s">
        <v>168</v>
      </c>
      <c r="B218" t="s">
        <v>165</v>
      </c>
    </row>
    <row r="225" spans="1:11" ht="12.75">
      <c r="A225" t="s">
        <v>202</v>
      </c>
      <c r="B225" t="s">
        <v>102</v>
      </c>
      <c r="D225">
        <v>1.35</v>
      </c>
      <c r="E225" t="s">
        <v>17</v>
      </c>
      <c r="G225">
        <v>3.75</v>
      </c>
      <c r="H225" t="s">
        <v>17</v>
      </c>
      <c r="J225" s="34">
        <f>G225*D225</f>
        <v>5.0625</v>
      </c>
      <c r="K225" s="34" t="s">
        <v>8</v>
      </c>
    </row>
    <row r="226" spans="1:2" ht="12.75">
      <c r="A226" t="s">
        <v>203</v>
      </c>
      <c r="B226" t="s">
        <v>194</v>
      </c>
    </row>
    <row r="227" spans="1:2" ht="12.75">
      <c r="A227" t="s">
        <v>204</v>
      </c>
      <c r="B227" t="s">
        <v>54</v>
      </c>
    </row>
    <row r="228" spans="1:2" ht="12.75">
      <c r="A228" t="s">
        <v>205</v>
      </c>
      <c r="B228" t="s">
        <v>196</v>
      </c>
    </row>
    <row r="229" spans="1:2" ht="12.75">
      <c r="A229" t="s">
        <v>206</v>
      </c>
      <c r="B229" s="30" t="s">
        <v>105</v>
      </c>
    </row>
    <row r="232" spans="1:2" ht="12.75">
      <c r="A232" t="s">
        <v>214</v>
      </c>
      <c r="B232" t="s">
        <v>215</v>
      </c>
    </row>
    <row r="233" spans="1:2" ht="12.75">
      <c r="A233" t="s">
        <v>217</v>
      </c>
      <c r="B233" t="s">
        <v>236</v>
      </c>
    </row>
    <row r="235" spans="1:2" ht="12.75">
      <c r="A235" t="s">
        <v>219</v>
      </c>
      <c r="B235" t="s">
        <v>218</v>
      </c>
    </row>
    <row r="236" spans="2:10" ht="12.75">
      <c r="B236" t="s">
        <v>220</v>
      </c>
      <c r="D236" t="s">
        <v>229</v>
      </c>
      <c r="E236">
        <v>5</v>
      </c>
      <c r="F236" t="s">
        <v>222</v>
      </c>
      <c r="G236">
        <v>0.2</v>
      </c>
      <c r="H236" t="s">
        <v>222</v>
      </c>
      <c r="I236">
        <f>E236*G236</f>
        <v>1</v>
      </c>
      <c r="J236" t="s">
        <v>224</v>
      </c>
    </row>
    <row r="237" spans="4:10" ht="12.75">
      <c r="D237" t="s">
        <v>223</v>
      </c>
      <c r="E237">
        <v>12.6</v>
      </c>
      <c r="F237" t="s">
        <v>222</v>
      </c>
      <c r="G237">
        <v>0.8</v>
      </c>
      <c r="H237" t="s">
        <v>222</v>
      </c>
      <c r="I237">
        <f>E237*G237</f>
        <v>10.08</v>
      </c>
      <c r="J237" t="s">
        <v>224</v>
      </c>
    </row>
    <row r="241" spans="2:10" ht="12.75">
      <c r="B241" t="s">
        <v>221</v>
      </c>
      <c r="D241" t="s">
        <v>229</v>
      </c>
      <c r="E241">
        <v>5</v>
      </c>
      <c r="F241" t="s">
        <v>222</v>
      </c>
      <c r="G241">
        <v>0.2</v>
      </c>
      <c r="H241" t="s">
        <v>222</v>
      </c>
      <c r="I241">
        <f>E241*G241</f>
        <v>1</v>
      </c>
      <c r="J241" t="s">
        <v>224</v>
      </c>
    </row>
    <row r="242" spans="4:10" ht="12.75">
      <c r="D242" t="s">
        <v>223</v>
      </c>
      <c r="E242">
        <v>12.6</v>
      </c>
      <c r="F242" t="s">
        <v>222</v>
      </c>
      <c r="G242">
        <v>0.8</v>
      </c>
      <c r="H242" t="s">
        <v>222</v>
      </c>
      <c r="I242">
        <f>E242*G242</f>
        <v>10.08</v>
      </c>
      <c r="J242" t="s">
        <v>224</v>
      </c>
    </row>
    <row r="246" spans="2:16" ht="12.75">
      <c r="B246" t="s">
        <v>225</v>
      </c>
      <c r="D246" t="s">
        <v>223</v>
      </c>
      <c r="E246">
        <v>4.3</v>
      </c>
      <c r="F246" t="s">
        <v>222</v>
      </c>
      <c r="G246">
        <v>2.8</v>
      </c>
      <c r="H246" t="s">
        <v>222</v>
      </c>
      <c r="I246">
        <f>E246*G246</f>
        <v>12.04</v>
      </c>
      <c r="J246" t="s">
        <v>224</v>
      </c>
      <c r="K246" t="s">
        <v>226</v>
      </c>
      <c r="M246">
        <f>2.1*0.8</f>
        <v>1.6800000000000002</v>
      </c>
      <c r="N246" t="s">
        <v>224</v>
      </c>
      <c r="O246">
        <f>I246-M246</f>
        <v>10.36</v>
      </c>
      <c r="P246" t="s">
        <v>224</v>
      </c>
    </row>
    <row r="248" spans="2:16" ht="12.75">
      <c r="B248" t="s">
        <v>227</v>
      </c>
      <c r="D248" t="s">
        <v>223</v>
      </c>
      <c r="E248">
        <v>4.3</v>
      </c>
      <c r="F248" t="s">
        <v>222</v>
      </c>
      <c r="G248">
        <v>2.8</v>
      </c>
      <c r="H248" t="s">
        <v>222</v>
      </c>
      <c r="I248">
        <f>E248*G248</f>
        <v>12.04</v>
      </c>
      <c r="J248" t="s">
        <v>224</v>
      </c>
      <c r="K248" t="s">
        <v>226</v>
      </c>
      <c r="M248">
        <f>2.1*0.8</f>
        <v>1.6800000000000002</v>
      </c>
      <c r="N248" t="s">
        <v>224</v>
      </c>
      <c r="O248">
        <f>I248-M248</f>
        <v>10.36</v>
      </c>
      <c r="P248" t="s">
        <v>224</v>
      </c>
    </row>
    <row r="250" spans="2:16" ht="12.75">
      <c r="B250" t="s">
        <v>238</v>
      </c>
      <c r="D250" t="s">
        <v>223</v>
      </c>
      <c r="E250">
        <v>8.85</v>
      </c>
      <c r="F250" t="s">
        <v>222</v>
      </c>
      <c r="G250">
        <v>2.6</v>
      </c>
      <c r="H250" t="s">
        <v>222</v>
      </c>
      <c r="I250">
        <f>E250*G250</f>
        <v>23.01</v>
      </c>
      <c r="J250" t="s">
        <v>224</v>
      </c>
      <c r="K250" t="s">
        <v>226</v>
      </c>
      <c r="M250">
        <f>0.8*2.1</f>
        <v>1.6800000000000002</v>
      </c>
      <c r="N250" t="s">
        <v>224</v>
      </c>
      <c r="O250">
        <f>I250-M250-M251</f>
        <v>20.130000000000003</v>
      </c>
      <c r="P250" t="s">
        <v>224</v>
      </c>
    </row>
    <row r="251" spans="11:14" ht="12.75">
      <c r="K251" t="s">
        <v>239</v>
      </c>
      <c r="M251">
        <f>2*0.6</f>
        <v>1.2</v>
      </c>
      <c r="N251" t="s">
        <v>224</v>
      </c>
    </row>
    <row r="253" spans="2:5" ht="12.75">
      <c r="B253" t="s">
        <v>228</v>
      </c>
      <c r="D253" s="34">
        <f>I236+I237+I241+I242+O246+O248+O250</f>
        <v>63.01</v>
      </c>
      <c r="E253" s="34" t="s">
        <v>224</v>
      </c>
    </row>
    <row r="256" spans="1:2" ht="12.75">
      <c r="A256" t="s">
        <v>232</v>
      </c>
      <c r="B256" t="s">
        <v>231</v>
      </c>
    </row>
    <row r="258" spans="2:5" ht="12.75">
      <c r="B258" t="s">
        <v>234</v>
      </c>
      <c r="C258">
        <v>10.75</v>
      </c>
      <c r="D258" t="s">
        <v>224</v>
      </c>
      <c r="E258" t="s">
        <v>233</v>
      </c>
    </row>
    <row r="259" spans="2:14" ht="12.75">
      <c r="B259" t="s">
        <v>235</v>
      </c>
      <c r="C259">
        <v>10.75</v>
      </c>
      <c r="D259" t="s">
        <v>224</v>
      </c>
      <c r="E259" t="s">
        <v>233</v>
      </c>
      <c r="H259" t="s">
        <v>239</v>
      </c>
      <c r="J259">
        <f>2*0.6</f>
        <v>1.2</v>
      </c>
      <c r="K259" t="s">
        <v>224</v>
      </c>
      <c r="L259" t="s">
        <v>228</v>
      </c>
      <c r="M259">
        <f>C259-J259</f>
        <v>9.55</v>
      </c>
      <c r="N259" t="s">
        <v>224</v>
      </c>
    </row>
    <row r="261" spans="2:15" ht="12.75">
      <c r="B261" t="s">
        <v>229</v>
      </c>
      <c r="C261">
        <v>12.25</v>
      </c>
      <c r="D261" t="s">
        <v>222</v>
      </c>
      <c r="E261">
        <v>3.4</v>
      </c>
      <c r="F261" t="s">
        <v>222</v>
      </c>
      <c r="G261">
        <f>C261*E261</f>
        <v>41.65</v>
      </c>
      <c r="H261" t="s">
        <v>224</v>
      </c>
      <c r="I261" t="s">
        <v>239</v>
      </c>
      <c r="K261">
        <f>0.6*0.8*6</f>
        <v>2.88</v>
      </c>
      <c r="L261" t="s">
        <v>224</v>
      </c>
      <c r="M261" t="s">
        <v>228</v>
      </c>
      <c r="N261">
        <f>G261-K261</f>
        <v>38.769999999999996</v>
      </c>
      <c r="O261" t="s">
        <v>224</v>
      </c>
    </row>
    <row r="263" spans="2:9" ht="12.75">
      <c r="B263" t="s">
        <v>240</v>
      </c>
      <c r="D263">
        <v>7.8</v>
      </c>
      <c r="E263" t="s">
        <v>222</v>
      </c>
      <c r="F263">
        <v>3.5</v>
      </c>
      <c r="G263" t="s">
        <v>222</v>
      </c>
      <c r="H263">
        <f>D263*F263</f>
        <v>27.3</v>
      </c>
      <c r="I263" t="s">
        <v>224</v>
      </c>
    </row>
    <row r="264" spans="4:16" ht="12.75">
      <c r="D264">
        <v>4.15</v>
      </c>
      <c r="E264" t="s">
        <v>222</v>
      </c>
      <c r="F264">
        <v>3.5</v>
      </c>
      <c r="G264" t="s">
        <v>222</v>
      </c>
      <c r="H264">
        <f>D264*F264</f>
        <v>14.525000000000002</v>
      </c>
      <c r="I264" t="s">
        <v>224</v>
      </c>
      <c r="J264" t="s">
        <v>239</v>
      </c>
      <c r="L264">
        <f>2*1.5</f>
        <v>3</v>
      </c>
      <c r="M264" t="s">
        <v>224</v>
      </c>
      <c r="N264" t="s">
        <v>228</v>
      </c>
      <c r="O264">
        <f>H264-L264</f>
        <v>11.525000000000002</v>
      </c>
      <c r="P264" t="s">
        <v>224</v>
      </c>
    </row>
    <row r="266" spans="2:4" ht="12.75">
      <c r="B266" t="s">
        <v>228</v>
      </c>
      <c r="C266" s="34">
        <f>C258+M259+N261+H263+O264</f>
        <v>97.895</v>
      </c>
      <c r="D266" s="34" t="s">
        <v>224</v>
      </c>
    </row>
    <row r="269" spans="1:2" ht="12.75">
      <c r="A269" t="s">
        <v>249</v>
      </c>
      <c r="B269" t="s">
        <v>241</v>
      </c>
    </row>
    <row r="270" spans="10:12" ht="12.75">
      <c r="J270" t="s">
        <v>228</v>
      </c>
      <c r="K270" s="34">
        <f>(H270+H271+H272)*2</f>
        <v>8.4</v>
      </c>
      <c r="L270" s="34" t="s">
        <v>224</v>
      </c>
    </row>
    <row r="271" spans="2:9" ht="12.75">
      <c r="B271">
        <v>2</v>
      </c>
      <c r="C271" t="s">
        <v>222</v>
      </c>
      <c r="D271">
        <v>0.6</v>
      </c>
      <c r="E271" t="s">
        <v>222</v>
      </c>
      <c r="F271">
        <v>1</v>
      </c>
      <c r="G271" t="s">
        <v>243</v>
      </c>
      <c r="H271">
        <f>B271*D271*F271</f>
        <v>1.2</v>
      </c>
      <c r="I271" t="s">
        <v>224</v>
      </c>
    </row>
    <row r="272" spans="2:9" ht="12.75">
      <c r="B272">
        <v>2</v>
      </c>
      <c r="C272" t="s">
        <v>222</v>
      </c>
      <c r="D272">
        <v>1.5</v>
      </c>
      <c r="E272" t="s">
        <v>222</v>
      </c>
      <c r="F272">
        <v>1</v>
      </c>
      <c r="G272" t="s">
        <v>243</v>
      </c>
      <c r="H272">
        <f>B272*D272*F272</f>
        <v>3</v>
      </c>
      <c r="I272" t="s">
        <v>224</v>
      </c>
    </row>
    <row r="275" spans="1:2" ht="12.75">
      <c r="A275" t="s">
        <v>250</v>
      </c>
      <c r="B275" t="s">
        <v>247</v>
      </c>
    </row>
    <row r="276" spans="2:9" ht="12.75">
      <c r="B276">
        <v>0.8</v>
      </c>
      <c r="C276">
        <v>2.1</v>
      </c>
      <c r="D276">
        <v>1</v>
      </c>
      <c r="E276">
        <f>B276*C276*D276</f>
        <v>1.6800000000000002</v>
      </c>
      <c r="F276" t="s">
        <v>8</v>
      </c>
      <c r="G276" t="s">
        <v>5</v>
      </c>
      <c r="H276" s="34">
        <f>E276*2</f>
        <v>3.3600000000000003</v>
      </c>
      <c r="I276" s="34" t="s">
        <v>8</v>
      </c>
    </row>
    <row r="279" spans="1:2" ht="12.75">
      <c r="A279" t="s">
        <v>245</v>
      </c>
      <c r="B279" t="s">
        <v>246</v>
      </c>
    </row>
    <row r="280" spans="1:2" ht="12.75">
      <c r="A280" t="s">
        <v>251</v>
      </c>
      <c r="B280" t="s">
        <v>230</v>
      </c>
    </row>
    <row r="281" spans="2:9" ht="12.75">
      <c r="B281" t="s">
        <v>252</v>
      </c>
      <c r="D281">
        <v>2.45</v>
      </c>
      <c r="E281" t="s">
        <v>222</v>
      </c>
      <c r="F281">
        <v>3.5</v>
      </c>
      <c r="G281" t="s">
        <v>222</v>
      </c>
      <c r="H281">
        <f>D281*F281</f>
        <v>8.575000000000001</v>
      </c>
      <c r="I281" t="s">
        <v>224</v>
      </c>
    </row>
    <row r="282" spans="2:9" ht="12.75">
      <c r="B282" t="s">
        <v>252</v>
      </c>
      <c r="D282">
        <v>2.45</v>
      </c>
      <c r="E282" t="s">
        <v>222</v>
      </c>
      <c r="F282">
        <f>3.5-1.5</f>
        <v>2</v>
      </c>
      <c r="G282" t="s">
        <v>222</v>
      </c>
      <c r="H282">
        <f>D282*F282</f>
        <v>4.9</v>
      </c>
      <c r="I282" t="s">
        <v>224</v>
      </c>
    </row>
    <row r="283" spans="2:9" ht="12.75">
      <c r="B283" t="s">
        <v>253</v>
      </c>
      <c r="D283">
        <v>4.8</v>
      </c>
      <c r="E283" t="s">
        <v>222</v>
      </c>
      <c r="F283">
        <v>2</v>
      </c>
      <c r="G283" t="s">
        <v>222</v>
      </c>
      <c r="H283">
        <f>D283*F283</f>
        <v>9.6</v>
      </c>
      <c r="I283" t="s">
        <v>224</v>
      </c>
    </row>
    <row r="285" spans="2:19" ht="12.75">
      <c r="B285" t="s">
        <v>254</v>
      </c>
      <c r="G285">
        <v>19.8</v>
      </c>
      <c r="H285" t="s">
        <v>222</v>
      </c>
      <c r="I285">
        <v>5</v>
      </c>
      <c r="J285" t="s">
        <v>222</v>
      </c>
      <c r="K285">
        <f>G285*I285</f>
        <v>99</v>
      </c>
      <c r="L285" t="s">
        <v>224</v>
      </c>
      <c r="M285" t="s">
        <v>255</v>
      </c>
      <c r="N285" t="s">
        <v>256</v>
      </c>
      <c r="O285">
        <f>0.8*2.1*3</f>
        <v>5.040000000000001</v>
      </c>
      <c r="P285" t="s">
        <v>224</v>
      </c>
      <c r="Q285" t="s">
        <v>228</v>
      </c>
      <c r="R285">
        <f>K285-O285-O286-O287</f>
        <v>92.47999999999999</v>
      </c>
      <c r="S285" t="s">
        <v>224</v>
      </c>
    </row>
    <row r="286" spans="14:16" ht="12.75">
      <c r="N286" t="s">
        <v>257</v>
      </c>
      <c r="O286">
        <f>1*1</f>
        <v>1</v>
      </c>
      <c r="P286" t="s">
        <v>224</v>
      </c>
    </row>
    <row r="287" spans="15:16" ht="12.75">
      <c r="O287">
        <f>0.8*0.6</f>
        <v>0.48</v>
      </c>
      <c r="P287" t="s">
        <v>224</v>
      </c>
    </row>
    <row r="291" spans="2:21" ht="12.75">
      <c r="B291" t="s">
        <v>258</v>
      </c>
      <c r="D291" t="s">
        <v>223</v>
      </c>
      <c r="E291">
        <v>19.1</v>
      </c>
      <c r="F291" t="s">
        <v>222</v>
      </c>
      <c r="G291">
        <f>3-1.5</f>
        <v>1.5</v>
      </c>
      <c r="H291" t="s">
        <v>222</v>
      </c>
      <c r="I291">
        <f>E291*G291</f>
        <v>28.650000000000002</v>
      </c>
      <c r="J291" t="s">
        <v>224</v>
      </c>
      <c r="L291" t="s">
        <v>255</v>
      </c>
      <c r="M291" t="s">
        <v>256</v>
      </c>
      <c r="N291">
        <v>0.8</v>
      </c>
      <c r="O291">
        <f>2.1-1.5</f>
        <v>0.6000000000000001</v>
      </c>
      <c r="P291">
        <v>2</v>
      </c>
      <c r="Q291">
        <f>N291*O291*P291</f>
        <v>0.9600000000000002</v>
      </c>
      <c r="R291" t="s">
        <v>224</v>
      </c>
      <c r="S291" t="s">
        <v>228</v>
      </c>
      <c r="T291">
        <f>I291-Q291-Q292</f>
        <v>25.89</v>
      </c>
      <c r="U291" t="s">
        <v>224</v>
      </c>
    </row>
    <row r="292" spans="13:18" ht="12.75">
      <c r="M292" t="s">
        <v>257</v>
      </c>
      <c r="N292">
        <v>1.5</v>
      </c>
      <c r="O292">
        <v>0.6</v>
      </c>
      <c r="P292">
        <v>2</v>
      </c>
      <c r="Q292">
        <f>N292*O292*P292</f>
        <v>1.7999999999999998</v>
      </c>
      <c r="R292" t="s">
        <v>224</v>
      </c>
    </row>
    <row r="294" spans="2:4" ht="12.75">
      <c r="B294" t="s">
        <v>228</v>
      </c>
      <c r="C294" s="34">
        <f>H281+H282+H283+R285+T291</f>
        <v>141.445</v>
      </c>
      <c r="D294" s="34" t="s">
        <v>224</v>
      </c>
    </row>
    <row r="297" spans="1:2" ht="12.75">
      <c r="A297" t="s">
        <v>263</v>
      </c>
      <c r="B297" t="s">
        <v>231</v>
      </c>
    </row>
    <row r="299" spans="2:5" ht="12.75">
      <c r="B299" t="s">
        <v>259</v>
      </c>
      <c r="D299">
        <v>43.7</v>
      </c>
      <c r="E299" t="s">
        <v>224</v>
      </c>
    </row>
    <row r="300" spans="2:9" ht="12.75">
      <c r="B300" t="s">
        <v>260</v>
      </c>
      <c r="D300">
        <v>5</v>
      </c>
      <c r="E300" t="s">
        <v>222</v>
      </c>
      <c r="F300">
        <v>3.5</v>
      </c>
      <c r="G300" t="s">
        <v>222</v>
      </c>
      <c r="H300">
        <f>D300*F300</f>
        <v>17.5</v>
      </c>
      <c r="I300" t="s">
        <v>224</v>
      </c>
    </row>
    <row r="301" spans="2:19" ht="12.75">
      <c r="B301" t="s">
        <v>261</v>
      </c>
      <c r="D301">
        <v>19.95</v>
      </c>
      <c r="E301" t="s">
        <v>222</v>
      </c>
      <c r="F301">
        <v>3.5</v>
      </c>
      <c r="G301" t="s">
        <v>222</v>
      </c>
      <c r="H301">
        <f>D301*F301</f>
        <v>69.825</v>
      </c>
      <c r="I301" t="s">
        <v>224</v>
      </c>
      <c r="J301" t="s">
        <v>262</v>
      </c>
      <c r="L301">
        <v>1.5</v>
      </c>
      <c r="M301">
        <v>1.2</v>
      </c>
      <c r="N301">
        <v>6</v>
      </c>
      <c r="O301">
        <f>L301*M301*N301</f>
        <v>10.799999999999999</v>
      </c>
      <c r="P301" t="s">
        <v>224</v>
      </c>
      <c r="Q301" t="s">
        <v>228</v>
      </c>
      <c r="R301">
        <f>H301-O301</f>
        <v>59.025000000000006</v>
      </c>
      <c r="S301" t="s">
        <v>224</v>
      </c>
    </row>
    <row r="303" spans="2:4" ht="12.75">
      <c r="B303" t="s">
        <v>228</v>
      </c>
      <c r="C303" s="34">
        <f>D299+H300+R301</f>
        <v>120.22500000000001</v>
      </c>
      <c r="D303" s="34" t="s">
        <v>224</v>
      </c>
    </row>
  </sheetData>
  <mergeCells count="2">
    <mergeCell ref="C102:L102"/>
    <mergeCell ref="C127:M127"/>
  </mergeCells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Luciana de Oliveira Azevedo</dc:creator>
  <cp:keywords/>
  <dc:description/>
  <cp:lastModifiedBy>Camila Rodrigues de Moraes Claudio</cp:lastModifiedBy>
  <cp:lastPrinted>2022-05-30T13:44:20Z</cp:lastPrinted>
  <dcterms:created xsi:type="dcterms:W3CDTF">2020-07-14T12:58:57Z</dcterms:created>
  <dcterms:modified xsi:type="dcterms:W3CDTF">2022-05-30T13:44:38Z</dcterms:modified>
  <cp:category/>
  <cp:version/>
  <cp:contentType/>
  <cp:contentStatus/>
</cp:coreProperties>
</file>